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19200" windowHeight="685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基本情報入力シート!$A$1:$AE$88</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 i="88" l="1"/>
  <c r="AM88" i="88" l="1"/>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D84" i="73"/>
  <c r="AD42" i="73" l="1"/>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3"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140" i="73"/>
  <c r="AD41"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J69" i="73" l="1"/>
  <c r="AJ61" i="73"/>
  <c r="AJ53" i="73"/>
  <c r="AJ45" i="73"/>
  <c r="AJ67" i="73"/>
  <c r="AJ59" i="73"/>
  <c r="AJ51" i="73"/>
  <c r="AJ43" i="73"/>
  <c r="AJ74" i="73"/>
  <c r="AJ66" i="73"/>
  <c r="AJ58" i="73"/>
  <c r="AJ50" i="73"/>
  <c r="AJ42" i="73"/>
  <c r="AJ73" i="73"/>
  <c r="AJ57" i="73"/>
  <c r="AJ49" i="73"/>
  <c r="AJ72" i="73"/>
  <c r="AJ71" i="73"/>
  <c r="AJ70" i="73"/>
  <c r="AJ68" i="73"/>
  <c r="AJ60" i="73"/>
  <c r="AJ52" i="73"/>
  <c r="AJ44" i="73"/>
  <c r="AJ65" i="73"/>
  <c r="AJ64" i="73"/>
  <c r="AJ56" i="73"/>
  <c r="AJ48" i="73"/>
  <c r="AJ63" i="73"/>
  <c r="AJ55" i="73"/>
  <c r="AJ47" i="73"/>
  <c r="AJ62" i="73"/>
  <c r="AJ54" i="73"/>
  <c r="AJ46" i="73"/>
  <c r="AR180" i="84"/>
  <c r="AR20" i="84"/>
  <c r="AR172" i="84"/>
  <c r="AR140" i="84"/>
  <c r="AR108" i="84"/>
  <c r="AR76" i="84"/>
  <c r="AR148" i="84"/>
  <c r="AR52" i="84"/>
  <c r="AR116" i="84"/>
  <c r="AR196" i="84"/>
  <c r="AR164" i="84"/>
  <c r="AR132" i="84"/>
  <c r="AR100" i="84"/>
  <c r="AR192" i="84"/>
  <c r="AR160" i="84"/>
  <c r="AR128" i="84"/>
  <c r="AR96" i="84"/>
  <c r="AR32" i="84"/>
  <c r="AR188" i="84"/>
  <c r="AR84"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H11" i="79"/>
  <c r="A64" i="78"/>
  <c r="AK44" i="73" l="1"/>
  <c r="AK42" i="73"/>
  <c r="AK71" i="73"/>
  <c r="AK51" i="73"/>
  <c r="AK69" i="73"/>
  <c r="AK59" i="73"/>
  <c r="AK63" i="73"/>
  <c r="AK73" i="73"/>
  <c r="AK53" i="73"/>
  <c r="AK65" i="73"/>
  <c r="AK57" i="73"/>
  <c r="AK49" i="73"/>
  <c r="AK46" i="73"/>
  <c r="AK67" i="73"/>
  <c r="AC41"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AG109" i="79" s="1"/>
  <c r="F109" i="79"/>
  <c r="E109" i="79"/>
  <c r="D109" i="79"/>
  <c r="AI109" i="79" s="1"/>
  <c r="C109" i="79"/>
  <c r="B109" i="79"/>
  <c r="J108" i="79"/>
  <c r="G108" i="79"/>
  <c r="AG108" i="79" s="1"/>
  <c r="F108" i="79"/>
  <c r="E108" i="79"/>
  <c r="D108" i="79"/>
  <c r="AI108" i="79" s="1"/>
  <c r="C108" i="79"/>
  <c r="B108" i="79"/>
  <c r="J107" i="79"/>
  <c r="G107" i="79"/>
  <c r="AG107" i="79" s="1"/>
  <c r="F107" i="79"/>
  <c r="E107" i="79"/>
  <c r="D107" i="79"/>
  <c r="AI107" i="79" s="1"/>
  <c r="C107" i="79"/>
  <c r="B107" i="79"/>
  <c r="J106" i="79"/>
  <c r="G106" i="79"/>
  <c r="AG106" i="79" s="1"/>
  <c r="F106" i="79"/>
  <c r="E106" i="79"/>
  <c r="D106" i="79"/>
  <c r="AI106" i="79" s="1"/>
  <c r="C106" i="79"/>
  <c r="B106" i="79"/>
  <c r="J105" i="79"/>
  <c r="G105" i="79"/>
  <c r="AG105" i="79" s="1"/>
  <c r="F105" i="79"/>
  <c r="E105" i="79"/>
  <c r="D105" i="79"/>
  <c r="AI105" i="79" s="1"/>
  <c r="C105" i="79"/>
  <c r="B105" i="79"/>
  <c r="J104" i="79"/>
  <c r="G104" i="79"/>
  <c r="AG104" i="79" s="1"/>
  <c r="F104" i="79"/>
  <c r="E104" i="79"/>
  <c r="D104" i="79"/>
  <c r="AI104" i="79" s="1"/>
  <c r="C104" i="79"/>
  <c r="B104" i="79"/>
  <c r="J103" i="79"/>
  <c r="G103" i="79"/>
  <c r="AG103" i="79" s="1"/>
  <c r="F103" i="79"/>
  <c r="E103" i="79"/>
  <c r="D103" i="79"/>
  <c r="AI103" i="79" s="1"/>
  <c r="C103" i="79"/>
  <c r="B103" i="79"/>
  <c r="J102" i="79"/>
  <c r="G102" i="79"/>
  <c r="AG102" i="79" s="1"/>
  <c r="F102" i="79"/>
  <c r="E102" i="79"/>
  <c r="D102" i="79"/>
  <c r="AI102" i="79" s="1"/>
  <c r="C102" i="79"/>
  <c r="B102" i="79"/>
  <c r="J101" i="79"/>
  <c r="G101" i="79"/>
  <c r="AG101" i="79" s="1"/>
  <c r="F101" i="79"/>
  <c r="E101" i="79"/>
  <c r="D101" i="79"/>
  <c r="AI101" i="79" s="1"/>
  <c r="C101" i="79"/>
  <c r="B101" i="79"/>
  <c r="J100" i="79"/>
  <c r="G100" i="79"/>
  <c r="AG100" i="79" s="1"/>
  <c r="F100" i="79"/>
  <c r="E100" i="79"/>
  <c r="D100" i="79"/>
  <c r="AI100" i="79" s="1"/>
  <c r="C100" i="79"/>
  <c r="B100" i="79"/>
  <c r="J99" i="79"/>
  <c r="G99" i="79"/>
  <c r="AG99" i="79" s="1"/>
  <c r="F99" i="79"/>
  <c r="E99" i="79"/>
  <c r="D99" i="79"/>
  <c r="AI99" i="79" s="1"/>
  <c r="C99" i="79"/>
  <c r="B99" i="79"/>
  <c r="J98" i="79"/>
  <c r="G98" i="79"/>
  <c r="AG98" i="79" s="1"/>
  <c r="F98" i="79"/>
  <c r="E98" i="79"/>
  <c r="D98" i="79"/>
  <c r="AI98" i="79" s="1"/>
  <c r="C98" i="79"/>
  <c r="B98" i="79"/>
  <c r="J97" i="79"/>
  <c r="G97" i="79"/>
  <c r="AG97" i="79" s="1"/>
  <c r="F97" i="79"/>
  <c r="E97" i="79"/>
  <c r="D97" i="79"/>
  <c r="AI97" i="79" s="1"/>
  <c r="C97" i="79"/>
  <c r="B97" i="79"/>
  <c r="J96" i="79"/>
  <c r="G96" i="79"/>
  <c r="AG96" i="79" s="1"/>
  <c r="F96" i="79"/>
  <c r="E96" i="79"/>
  <c r="D96" i="79"/>
  <c r="AI96" i="79" s="1"/>
  <c r="C96" i="79"/>
  <c r="B96" i="79"/>
  <c r="J95" i="79"/>
  <c r="G95" i="79"/>
  <c r="AG95" i="79" s="1"/>
  <c r="F95" i="79"/>
  <c r="E95" i="79"/>
  <c r="D95" i="79"/>
  <c r="AI95" i="79" s="1"/>
  <c r="C95" i="79"/>
  <c r="B95" i="79"/>
  <c r="J94" i="79"/>
  <c r="G94" i="79"/>
  <c r="AG94" i="79" s="1"/>
  <c r="F94" i="79"/>
  <c r="E94" i="79"/>
  <c r="D94" i="79"/>
  <c r="AI94" i="79" s="1"/>
  <c r="C94" i="79"/>
  <c r="B94" i="79"/>
  <c r="J93" i="79"/>
  <c r="G93" i="79"/>
  <c r="AG93" i="79" s="1"/>
  <c r="F93" i="79"/>
  <c r="E93" i="79"/>
  <c r="D93" i="79"/>
  <c r="AI93" i="79" s="1"/>
  <c r="C93" i="79"/>
  <c r="B93" i="79"/>
  <c r="J92" i="79"/>
  <c r="G92" i="79"/>
  <c r="AG92" i="79" s="1"/>
  <c r="F92" i="79"/>
  <c r="E92" i="79"/>
  <c r="D92" i="79"/>
  <c r="AI92" i="79" s="1"/>
  <c r="C92" i="79"/>
  <c r="B92" i="79"/>
  <c r="J91" i="79"/>
  <c r="G91" i="79"/>
  <c r="AG91" i="79" s="1"/>
  <c r="F91" i="79"/>
  <c r="E91" i="79"/>
  <c r="D91" i="79"/>
  <c r="AI91" i="79" s="1"/>
  <c r="C91" i="79"/>
  <c r="B91" i="79"/>
  <c r="J90" i="79"/>
  <c r="G90" i="79"/>
  <c r="AG90" i="79" s="1"/>
  <c r="F90" i="79"/>
  <c r="E90" i="79"/>
  <c r="D90" i="79"/>
  <c r="AI90" i="79" s="1"/>
  <c r="C90" i="79"/>
  <c r="B90" i="79"/>
  <c r="J89" i="79"/>
  <c r="G89" i="79"/>
  <c r="AG89" i="79" s="1"/>
  <c r="F89" i="79"/>
  <c r="E89" i="79"/>
  <c r="D89" i="79"/>
  <c r="AI89" i="79" s="1"/>
  <c r="C89" i="79"/>
  <c r="B89" i="79"/>
  <c r="J88" i="79"/>
  <c r="G88" i="79"/>
  <c r="AG88" i="79" s="1"/>
  <c r="F88" i="79"/>
  <c r="E88" i="79"/>
  <c r="D88" i="79"/>
  <c r="AI88" i="79" s="1"/>
  <c r="C88" i="79"/>
  <c r="B88" i="79"/>
  <c r="J87" i="79"/>
  <c r="G87" i="79"/>
  <c r="AG87" i="79" s="1"/>
  <c r="F87" i="79"/>
  <c r="E87" i="79"/>
  <c r="D87" i="79"/>
  <c r="AI87" i="79" s="1"/>
  <c r="C87" i="79"/>
  <c r="B87" i="79"/>
  <c r="J86" i="79"/>
  <c r="G86" i="79"/>
  <c r="AG86" i="79" s="1"/>
  <c r="F86" i="79"/>
  <c r="E86" i="79"/>
  <c r="D86" i="79"/>
  <c r="AI86" i="79" s="1"/>
  <c r="C86" i="79"/>
  <c r="B86" i="79"/>
  <c r="J85" i="79"/>
  <c r="G85" i="79"/>
  <c r="AG85" i="79" s="1"/>
  <c r="F85" i="79"/>
  <c r="E85" i="79"/>
  <c r="D85" i="79"/>
  <c r="AI85" i="79" s="1"/>
  <c r="C85" i="79"/>
  <c r="B85" i="79"/>
  <c r="J84" i="79"/>
  <c r="G84" i="79"/>
  <c r="AG84" i="79" s="1"/>
  <c r="F84" i="79"/>
  <c r="E84" i="79"/>
  <c r="D84" i="79"/>
  <c r="AI84" i="79" s="1"/>
  <c r="C84" i="79"/>
  <c r="B84" i="79"/>
  <c r="J83" i="79"/>
  <c r="G83" i="79"/>
  <c r="AG83" i="79" s="1"/>
  <c r="F83" i="79"/>
  <c r="E83" i="79"/>
  <c r="D83" i="79"/>
  <c r="AI83" i="79" s="1"/>
  <c r="C83" i="79"/>
  <c r="B83" i="79"/>
  <c r="J82" i="79"/>
  <c r="G82" i="79"/>
  <c r="AG82" i="79" s="1"/>
  <c r="F82" i="79"/>
  <c r="E82" i="79"/>
  <c r="D82" i="79"/>
  <c r="AI82" i="79" s="1"/>
  <c r="C82" i="79"/>
  <c r="B82" i="79"/>
  <c r="J81" i="79"/>
  <c r="G81" i="79"/>
  <c r="AG81" i="79" s="1"/>
  <c r="F81" i="79"/>
  <c r="E81" i="79"/>
  <c r="D81" i="79"/>
  <c r="AI81" i="79" s="1"/>
  <c r="C81" i="79"/>
  <c r="B81" i="79"/>
  <c r="J80" i="79"/>
  <c r="G80" i="79"/>
  <c r="AG80" i="79" s="1"/>
  <c r="F80" i="79"/>
  <c r="E80" i="79"/>
  <c r="D80" i="79"/>
  <c r="AI80" i="79" s="1"/>
  <c r="C80" i="79"/>
  <c r="B80" i="79"/>
  <c r="J79" i="79"/>
  <c r="G79" i="79"/>
  <c r="AG79" i="79" s="1"/>
  <c r="F79" i="79"/>
  <c r="E79" i="79"/>
  <c r="D79" i="79"/>
  <c r="AI79" i="79" s="1"/>
  <c r="C79" i="79"/>
  <c r="B79" i="79"/>
  <c r="J78" i="79"/>
  <c r="G78" i="79"/>
  <c r="AG78" i="79" s="1"/>
  <c r="F78" i="79"/>
  <c r="E78" i="79"/>
  <c r="D78" i="79"/>
  <c r="AI78" i="79" s="1"/>
  <c r="C78" i="79"/>
  <c r="B78" i="79"/>
  <c r="J77" i="79"/>
  <c r="G77" i="79"/>
  <c r="AG77" i="79" s="1"/>
  <c r="F77" i="79"/>
  <c r="E77" i="79"/>
  <c r="D77" i="79"/>
  <c r="AI77" i="79" s="1"/>
  <c r="C77" i="79"/>
  <c r="B77" i="79"/>
  <c r="J76" i="79"/>
  <c r="G76" i="79"/>
  <c r="AG76" i="79" s="1"/>
  <c r="F76" i="79"/>
  <c r="E76" i="79"/>
  <c r="D76" i="79"/>
  <c r="AI76" i="79" s="1"/>
  <c r="C76" i="79"/>
  <c r="B76" i="79"/>
  <c r="J75" i="79"/>
  <c r="G75" i="79"/>
  <c r="AG75" i="79" s="1"/>
  <c r="F75" i="79"/>
  <c r="E75" i="79"/>
  <c r="D75" i="79"/>
  <c r="AI75" i="79" s="1"/>
  <c r="C75" i="79"/>
  <c r="B75" i="79"/>
  <c r="J74" i="79"/>
  <c r="G74" i="79"/>
  <c r="AG74" i="79" s="1"/>
  <c r="F74" i="79"/>
  <c r="E74" i="79"/>
  <c r="D74" i="79"/>
  <c r="AI74" i="79" s="1"/>
  <c r="C74" i="79"/>
  <c r="B74" i="79"/>
  <c r="J73" i="79"/>
  <c r="G73" i="79"/>
  <c r="AG73" i="79" s="1"/>
  <c r="F73" i="79"/>
  <c r="E73" i="79"/>
  <c r="D73" i="79"/>
  <c r="AI73" i="79" s="1"/>
  <c r="C73" i="79"/>
  <c r="B73" i="79"/>
  <c r="J72" i="79"/>
  <c r="G72" i="79"/>
  <c r="AG72" i="79" s="1"/>
  <c r="F72" i="79"/>
  <c r="E72" i="79"/>
  <c r="D72" i="79"/>
  <c r="AI72" i="79" s="1"/>
  <c r="C72" i="79"/>
  <c r="B72" i="79"/>
  <c r="J71" i="79"/>
  <c r="G71" i="79"/>
  <c r="AG71" i="79" s="1"/>
  <c r="F71" i="79"/>
  <c r="E71" i="79"/>
  <c r="D71" i="79"/>
  <c r="AI71" i="79" s="1"/>
  <c r="C71" i="79"/>
  <c r="B71" i="79"/>
  <c r="J70" i="79"/>
  <c r="G70" i="79"/>
  <c r="AG70" i="79" s="1"/>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M52" i="84" s="1"/>
  <c r="AU56" i="84"/>
  <c r="AV56" i="84" s="1"/>
  <c r="Q56" i="84"/>
  <c r="AM56" i="84" s="1"/>
  <c r="AU60" i="84"/>
  <c r="AM63" i="84" s="1"/>
  <c r="Q60" i="84"/>
  <c r="AU64" i="84"/>
  <c r="AV64" i="84" s="1"/>
  <c r="Q64" i="84"/>
  <c r="AU68" i="84"/>
  <c r="AV68" i="84" s="1"/>
  <c r="Q68" i="84"/>
  <c r="Q72" i="84"/>
  <c r="AM72" i="84" s="1"/>
  <c r="AU72" i="84"/>
  <c r="AV72" i="84" s="1"/>
  <c r="Q76" i="84"/>
  <c r="AU76" i="84"/>
  <c r="AM79" i="84" s="1"/>
  <c r="AU80" i="84"/>
  <c r="AV80" i="84" s="1"/>
  <c r="Q80" i="84"/>
  <c r="AM80" i="84" s="1"/>
  <c r="AU84" i="84"/>
  <c r="AM87" i="84" s="1"/>
  <c r="Q84" i="84"/>
  <c r="AU88" i="84"/>
  <c r="AM91" i="84" s="1"/>
  <c r="Q88" i="84"/>
  <c r="AM88" i="84" s="1"/>
  <c r="AU92" i="84"/>
  <c r="AM95" i="84" s="1"/>
  <c r="Q92" i="84"/>
  <c r="AM92" i="84" s="1"/>
  <c r="AU96" i="84"/>
  <c r="AM99" i="84" s="1"/>
  <c r="Q96" i="84"/>
  <c r="Q100" i="84"/>
  <c r="AM100" i="84" s="1"/>
  <c r="AU100" i="84"/>
  <c r="AM103" i="84" s="1"/>
  <c r="Q104" i="84"/>
  <c r="AM104" i="84" s="1"/>
  <c r="AU104" i="84"/>
  <c r="AM107" i="84" s="1"/>
  <c r="Q108" i="84"/>
  <c r="AU108" i="84"/>
  <c r="AM111" i="84" s="1"/>
  <c r="AU112" i="84"/>
  <c r="AM115" i="84" s="1"/>
  <c r="Q112" i="84"/>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U140" i="84"/>
  <c r="AM143" i="84" s="1"/>
  <c r="AU144" i="84"/>
  <c r="AM147" i="84" s="1"/>
  <c r="Q144" i="84"/>
  <c r="AU148" i="84"/>
  <c r="AM151" i="84" s="1"/>
  <c r="Q148" i="84"/>
  <c r="AM148" i="84" s="1"/>
  <c r="AU152" i="84"/>
  <c r="AM155" i="84" s="1"/>
  <c r="Q152" i="84"/>
  <c r="AM152" i="84" s="1"/>
  <c r="AU156" i="84"/>
  <c r="AM159" i="84" s="1"/>
  <c r="Q156" i="84"/>
  <c r="AU160" i="84"/>
  <c r="AM163" i="84" s="1"/>
  <c r="Q160" i="84"/>
  <c r="AM160" i="84" s="1"/>
  <c r="AU164" i="84"/>
  <c r="AM167" i="84" s="1"/>
  <c r="Q164" i="84"/>
  <c r="AM164" i="84" s="1"/>
  <c r="Q168" i="84"/>
  <c r="AM168" i="84" s="1"/>
  <c r="AU168" i="84"/>
  <c r="AM171" i="84" s="1"/>
  <c r="Q172" i="84"/>
  <c r="AU172" i="84"/>
  <c r="AM175" i="84" s="1"/>
  <c r="AU176" i="84"/>
  <c r="AM179" i="84" s="1"/>
  <c r="Q176" i="84"/>
  <c r="AU180" i="84"/>
  <c r="AM183" i="84" s="1"/>
  <c r="Q180" i="84"/>
  <c r="AM180" i="84" s="1"/>
  <c r="AU184" i="84"/>
  <c r="AM187" i="84" s="1"/>
  <c r="Q184" i="84"/>
  <c r="AM184" i="84" s="1"/>
  <c r="AU188" i="84"/>
  <c r="AM191" i="84" s="1"/>
  <c r="Q188" i="84"/>
  <c r="AU192" i="84"/>
  <c r="AM195" i="84" s="1"/>
  <c r="Q192" i="84"/>
  <c r="Q196" i="84"/>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M304" i="84" s="1"/>
  <c r="AU308" i="84"/>
  <c r="AV308" i="84" s="1"/>
  <c r="Q308" i="84"/>
  <c r="AM308" i="84" s="1"/>
  <c r="AU312" i="84"/>
  <c r="AV312" i="84" s="1"/>
  <c r="Q312" i="84"/>
  <c r="AM312" i="84" s="1"/>
  <c r="AU316" i="84"/>
  <c r="AV316" i="84" s="1"/>
  <c r="Q316" i="84"/>
  <c r="AM316" i="84" s="1"/>
  <c r="Q320" i="84"/>
  <c r="AM320" i="84" s="1"/>
  <c r="AU320" i="84"/>
  <c r="AV320" i="84" s="1"/>
  <c r="Q324" i="84"/>
  <c r="AM324" i="84" s="1"/>
  <c r="AU324" i="84"/>
  <c r="AV324" i="84" s="1"/>
  <c r="Q328" i="84"/>
  <c r="AM328" i="84" s="1"/>
  <c r="AU328" i="84"/>
  <c r="AV328" i="84" s="1"/>
  <c r="Q332" i="84"/>
  <c r="AM332" i="84" s="1"/>
  <c r="AU332" i="84"/>
  <c r="AV332" i="84" s="1"/>
  <c r="AU336" i="84"/>
  <c r="AV336" i="84" s="1"/>
  <c r="Q336" i="84"/>
  <c r="AM336" i="84" s="1"/>
  <c r="AU340" i="84"/>
  <c r="AV340" i="84" s="1"/>
  <c r="Q340" i="84"/>
  <c r="AM340" i="84" s="1"/>
  <c r="AU344" i="84"/>
  <c r="AV344" i="84" s="1"/>
  <c r="Q344" i="84"/>
  <c r="AM344" i="84" s="1"/>
  <c r="AU348" i="84"/>
  <c r="AV348" i="84" s="1"/>
  <c r="Q348" i="84"/>
  <c r="AM348" i="84" s="1"/>
  <c r="AU352" i="84"/>
  <c r="AV352" i="84" s="1"/>
  <c r="Q352" i="84"/>
  <c r="AM352" i="84" s="1"/>
  <c r="Q356" i="84"/>
  <c r="AM356" i="84" s="1"/>
  <c r="AU356" i="84"/>
  <c r="AV356" i="84" s="1"/>
  <c r="Q360" i="84"/>
  <c r="AM360" i="84" s="1"/>
  <c r="AU360" i="84"/>
  <c r="AV360" i="84" s="1"/>
  <c r="Q364" i="84"/>
  <c r="AM364" i="84" s="1"/>
  <c r="AU364" i="84"/>
  <c r="AV364" i="84" s="1"/>
  <c r="AU368" i="84"/>
  <c r="AV368" i="84" s="1"/>
  <c r="Q368" i="84"/>
  <c r="AM368" i="84" s="1"/>
  <c r="AU372" i="84"/>
  <c r="AV372" i="84" s="1"/>
  <c r="Q372" i="84"/>
  <c r="AM372" i="84" s="1"/>
  <c r="AU376" i="84"/>
  <c r="AV376" i="84" s="1"/>
  <c r="Q376" i="84"/>
  <c r="AM376" i="84" s="1"/>
  <c r="AU380" i="84"/>
  <c r="AV380" i="84" s="1"/>
  <c r="Q380" i="84"/>
  <c r="AM380" i="84" s="1"/>
  <c r="AU384" i="84"/>
  <c r="AV384" i="84" s="1"/>
  <c r="Q384" i="84"/>
  <c r="AM384" i="84" s="1"/>
  <c r="Q388" i="84"/>
  <c r="AM388" i="84" s="1"/>
  <c r="AU388" i="84"/>
  <c r="AV388" i="84" s="1"/>
  <c r="Q392" i="84"/>
  <c r="AM392" i="84" s="1"/>
  <c r="AU392" i="84"/>
  <c r="AV392" i="84" s="1"/>
  <c r="Q396" i="84"/>
  <c r="AM396" i="84" s="1"/>
  <c r="AU396" i="84"/>
  <c r="AV396" i="84" s="1"/>
  <c r="AU400" i="84"/>
  <c r="AV400" i="84" s="1"/>
  <c r="Q400" i="84"/>
  <c r="AM400" i="84" s="1"/>
  <c r="AU404" i="84"/>
  <c r="AV404" i="84" s="1"/>
  <c r="Q404" i="84"/>
  <c r="AM404" i="84" s="1"/>
  <c r="AU408" i="84"/>
  <c r="AV408" i="84" s="1"/>
  <c r="Q408" i="84"/>
  <c r="AM408" i="84" s="1"/>
  <c r="AU16" i="84"/>
  <c r="AV16" i="84" s="1"/>
  <c r="Q16" i="84"/>
  <c r="AU24" i="84"/>
  <c r="AM27" i="84" s="1"/>
  <c r="Q24" i="84"/>
  <c r="AU28" i="84"/>
  <c r="AV28" i="84" s="1"/>
  <c r="Q28" i="84"/>
  <c r="AM28" i="84" s="1"/>
  <c r="AU32" i="84"/>
  <c r="AM35" i="84" s="1"/>
  <c r="Q32" i="84"/>
  <c r="AM32" i="84" s="1"/>
  <c r="Q36" i="84"/>
  <c r="AU36" i="84"/>
  <c r="AV36" i="84" s="1"/>
  <c r="AU20" i="84"/>
  <c r="AM23" i="84" s="1"/>
  <c r="Q20" i="84"/>
  <c r="AM20" i="84" s="1"/>
  <c r="Q40" i="84"/>
  <c r="AM40" i="84" s="1"/>
  <c r="AU40" i="84"/>
  <c r="AM43" i="84" s="1"/>
  <c r="AM24" i="84" l="1"/>
  <c r="AM176" i="84"/>
  <c r="AM144" i="84"/>
  <c r="AM96" i="84"/>
  <c r="AM48" i="84"/>
  <c r="AM84" i="84"/>
  <c r="AM196" i="84"/>
  <c r="AM192" i="84"/>
  <c r="AM112" i="84"/>
  <c r="AM64" i="84"/>
  <c r="AM16" i="84"/>
  <c r="AM156" i="84"/>
  <c r="AM60" i="84"/>
  <c r="AM44" i="84"/>
  <c r="AM68" i="84"/>
  <c r="AM188" i="84"/>
  <c r="AM36" i="84"/>
  <c r="AM172" i="84"/>
  <c r="AM140" i="84"/>
  <c r="AM108" i="84"/>
  <c r="AM76"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44" i="79" l="1"/>
  <c r="AG44" i="79"/>
  <c r="AI28" i="79"/>
  <c r="AG28" i="79"/>
  <c r="AI51" i="79"/>
  <c r="AG51" i="79"/>
  <c r="AI35" i="79"/>
  <c r="AG35" i="79"/>
  <c r="AI27" i="79"/>
  <c r="AG27" i="79"/>
  <c r="AI19" i="79"/>
  <c r="AG19" i="79"/>
  <c r="AI50" i="79"/>
  <c r="AG50" i="79"/>
  <c r="AI34" i="79"/>
  <c r="AG34" i="79"/>
  <c r="AI26" i="79"/>
  <c r="AG26" i="79"/>
  <c r="AI18" i="79"/>
  <c r="AG18" i="79"/>
  <c r="AI41" i="79"/>
  <c r="AG41" i="79"/>
  <c r="AI25" i="79"/>
  <c r="AG25" i="79"/>
  <c r="AI52" i="79"/>
  <c r="AG52" i="79"/>
  <c r="AI20" i="79"/>
  <c r="AG20" i="79"/>
  <c r="AI43" i="79"/>
  <c r="AG43" i="79"/>
  <c r="AI42" i="79"/>
  <c r="AG42" i="79"/>
  <c r="AI49" i="79"/>
  <c r="AG49" i="79"/>
  <c r="AI33" i="79"/>
  <c r="AG33" i="79"/>
  <c r="AI17" i="79"/>
  <c r="AG17" i="79"/>
  <c r="AI48" i="79"/>
  <c r="AG48" i="79"/>
  <c r="T8" i="79"/>
  <c r="T9" i="79"/>
  <c r="AI47" i="79"/>
  <c r="AG47" i="79"/>
  <c r="AI39" i="79"/>
  <c r="AG39" i="79"/>
  <c r="AI22" i="79"/>
  <c r="AG22" i="79"/>
  <c r="AI36" i="79"/>
  <c r="AG36" i="79"/>
  <c r="AI40" i="79"/>
  <c r="AG40" i="79"/>
  <c r="AI32" i="79"/>
  <c r="AG32" i="79"/>
  <c r="AI24" i="79"/>
  <c r="AG24" i="79"/>
  <c r="AI16" i="79"/>
  <c r="AG16" i="79"/>
  <c r="AI31" i="79"/>
  <c r="AG31" i="79"/>
  <c r="AI23" i="79"/>
  <c r="AG23" i="79"/>
  <c r="AI15" i="79"/>
  <c r="AG15" i="79"/>
  <c r="AI54" i="79"/>
  <c r="AG54" i="79"/>
  <c r="AI46" i="79"/>
  <c r="AG46" i="79"/>
  <c r="AI38" i="79"/>
  <c r="AG38" i="79"/>
  <c r="AI30" i="79"/>
  <c r="AG30" i="79"/>
  <c r="AI14" i="79"/>
  <c r="AG14" i="79"/>
  <c r="AI53" i="79"/>
  <c r="AG53" i="79"/>
  <c r="AI45" i="79"/>
  <c r="AG45" i="79"/>
  <c r="AI37" i="79"/>
  <c r="AG37" i="79"/>
  <c r="AI29" i="79"/>
  <c r="AG29" i="79"/>
  <c r="AI21" i="79"/>
  <c r="AG21" i="79"/>
  <c r="AI13" i="79"/>
  <c r="AG13"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40" i="73"/>
  <c r="L408" i="84" s="1"/>
  <c r="AC42" i="73"/>
  <c r="L16" i="84" s="1"/>
  <c r="AC43" i="73"/>
  <c r="L20" i="84" s="1"/>
  <c r="AC44" i="73"/>
  <c r="L24" i="84" s="1"/>
  <c r="AC45" i="73"/>
  <c r="L28" i="84" s="1"/>
  <c r="AC46" i="73"/>
  <c r="L32" i="84" s="1"/>
  <c r="AC47" i="73"/>
  <c r="L36" i="84" s="1"/>
  <c r="AC48" i="73"/>
  <c r="L40" i="84" s="1"/>
  <c r="AC49" i="73"/>
  <c r="L44" i="84" s="1"/>
  <c r="AC50" i="73"/>
  <c r="L48" i="84" s="1"/>
  <c r="AC51" i="73"/>
  <c r="L52" i="84" s="1"/>
  <c r="AC52" i="73"/>
  <c r="L56" i="84" s="1"/>
  <c r="AC53" i="73"/>
  <c r="L60" i="84" s="1"/>
  <c r="AC54" i="73"/>
  <c r="L64" i="84" s="1"/>
  <c r="AC55" i="73"/>
  <c r="L68" i="84" s="1"/>
  <c r="AC56" i="73"/>
  <c r="L72" i="84" s="1"/>
  <c r="AC57" i="73"/>
  <c r="L76" i="84" s="1"/>
  <c r="AC58" i="73"/>
  <c r="L80" i="84" s="1"/>
  <c r="AC59" i="73"/>
  <c r="L84" i="84" s="1"/>
  <c r="AC60" i="73"/>
  <c r="L88" i="84" s="1"/>
  <c r="AC61" i="73"/>
  <c r="L92" i="84" s="1"/>
  <c r="AC62" i="73"/>
  <c r="L96" i="84" s="1"/>
  <c r="AC63" i="73"/>
  <c r="L100" i="84" s="1"/>
  <c r="AE100" i="84" s="1"/>
  <c r="AC64" i="73"/>
  <c r="L104" i="84" s="1"/>
  <c r="AE104" i="84" s="1"/>
  <c r="AC65" i="73"/>
  <c r="L108" i="84" s="1"/>
  <c r="AE108" i="84" s="1"/>
  <c r="AC66" i="73"/>
  <c r="L112" i="84" s="1"/>
  <c r="AE112" i="84" s="1"/>
  <c r="AC67" i="73"/>
  <c r="L116" i="84" s="1"/>
  <c r="AE116" i="84" s="1"/>
  <c r="AC68" i="73"/>
  <c r="L120" i="84" s="1"/>
  <c r="AE120" i="84" s="1"/>
  <c r="AC69" i="73"/>
  <c r="L124" i="84" s="1"/>
  <c r="AE124" i="84" s="1"/>
  <c r="AC70" i="73"/>
  <c r="L128" i="84" s="1"/>
  <c r="AE128" i="84" s="1"/>
  <c r="AC71" i="73"/>
  <c r="L132" i="84" s="1"/>
  <c r="AE132" i="84" s="1"/>
  <c r="AC72" i="73"/>
  <c r="L136" i="84" s="1"/>
  <c r="AE136" i="84" s="1"/>
  <c r="AC73" i="73"/>
  <c r="L140" i="84" s="1"/>
  <c r="AE140" i="84" s="1"/>
  <c r="AC74" i="73"/>
  <c r="L144" i="84" s="1"/>
  <c r="AE144" i="84" s="1"/>
  <c r="AC75" i="73"/>
  <c r="L148" i="84" s="1"/>
  <c r="AE148" i="84" s="1"/>
  <c r="AC76" i="73"/>
  <c r="L152" i="84" s="1"/>
  <c r="AE152" i="84" s="1"/>
  <c r="AC77" i="73"/>
  <c r="L156" i="84" s="1"/>
  <c r="AE156" i="84" s="1"/>
  <c r="AC78" i="73"/>
  <c r="L160" i="84" s="1"/>
  <c r="AE160" i="84" s="1"/>
  <c r="AC79" i="73"/>
  <c r="L164" i="84" s="1"/>
  <c r="AE164" i="84" s="1"/>
  <c r="AC80" i="73"/>
  <c r="L168" i="84" s="1"/>
  <c r="AE168" i="84" s="1"/>
  <c r="AC81" i="73"/>
  <c r="L172" i="84" s="1"/>
  <c r="AE172" i="84" s="1"/>
  <c r="AC82" i="73"/>
  <c r="L176" i="84" s="1"/>
  <c r="AE176" i="84" s="1"/>
  <c r="AC83" i="73"/>
  <c r="L180" i="84" s="1"/>
  <c r="AE180" i="84" s="1"/>
  <c r="AC84" i="73"/>
  <c r="L184" i="84" s="1"/>
  <c r="AE184" i="84" s="1"/>
  <c r="AC85" i="73"/>
  <c r="L188" i="84" s="1"/>
  <c r="AC86" i="73"/>
  <c r="L192" i="84" s="1"/>
  <c r="AC87" i="73"/>
  <c r="L196" i="84" s="1"/>
  <c r="AC88" i="73"/>
  <c r="L200" i="84" s="1"/>
  <c r="AC89" i="73"/>
  <c r="L204" i="84" s="1"/>
  <c r="AC90" i="73"/>
  <c r="L208" i="84" s="1"/>
  <c r="AC91" i="73"/>
  <c r="L212" i="84" s="1"/>
  <c r="AC92" i="73"/>
  <c r="L216" i="84" s="1"/>
  <c r="AC93" i="73"/>
  <c r="L220" i="84" s="1"/>
  <c r="AC94" i="73"/>
  <c r="L224" i="84" s="1"/>
  <c r="AE224" i="84" s="1"/>
  <c r="AC95" i="73"/>
  <c r="L228" i="84" s="1"/>
  <c r="AE228" i="84" s="1"/>
  <c r="AC96" i="73"/>
  <c r="L232" i="84" s="1"/>
  <c r="AC97" i="73"/>
  <c r="L236" i="84" s="1"/>
  <c r="AE236" i="84" s="1"/>
  <c r="AC98" i="73"/>
  <c r="L240" i="84" s="1"/>
  <c r="AE240" i="84" s="1"/>
  <c r="AC99" i="73"/>
  <c r="L244" i="84" s="1"/>
  <c r="AE244" i="84" s="1"/>
  <c r="AC100" i="73"/>
  <c r="L248" i="84" s="1"/>
  <c r="AC101" i="73"/>
  <c r="L252" i="84" s="1"/>
  <c r="AE252" i="84" s="1"/>
  <c r="AC102" i="73"/>
  <c r="L256" i="84" s="1"/>
  <c r="AC103" i="73"/>
  <c r="L260" i="84" s="1"/>
  <c r="AE260" i="84" s="1"/>
  <c r="AC104" i="73"/>
  <c r="L264" i="84" s="1"/>
  <c r="AE264" i="84" s="1"/>
  <c r="AC105" i="73"/>
  <c r="L268" i="84" s="1"/>
  <c r="AC106" i="73"/>
  <c r="L272" i="84" s="1"/>
  <c r="AE272" i="84" s="1"/>
  <c r="AC107" i="73"/>
  <c r="L276" i="84" s="1"/>
  <c r="AE276" i="84" s="1"/>
  <c r="AC108" i="73"/>
  <c r="L280" i="84" s="1"/>
  <c r="AE280" i="84" s="1"/>
  <c r="AC109" i="73"/>
  <c r="L284" i="84" s="1"/>
  <c r="AC110" i="73"/>
  <c r="L288" i="84" s="1"/>
  <c r="AE288" i="84" s="1"/>
  <c r="AC111" i="73"/>
  <c r="L292" i="84" s="1"/>
  <c r="AE292" i="84" s="1"/>
  <c r="AC112" i="73"/>
  <c r="L296" i="84" s="1"/>
  <c r="AE296" i="84" s="1"/>
  <c r="AC113" i="73"/>
  <c r="L300" i="84" s="1"/>
  <c r="AE300" i="84" s="1"/>
  <c r="AC114" i="73"/>
  <c r="L304" i="84" s="1"/>
  <c r="AC115" i="73"/>
  <c r="L308" i="84" s="1"/>
  <c r="AE308" i="84" s="1"/>
  <c r="AC116" i="73"/>
  <c r="L312" i="84" s="1"/>
  <c r="AE312" i="84" s="1"/>
  <c r="AC117" i="73"/>
  <c r="L316" i="84" s="1"/>
  <c r="AE316" i="84" s="1"/>
  <c r="AC118" i="73"/>
  <c r="L320" i="84" s="1"/>
  <c r="AC119" i="73"/>
  <c r="L324" i="84" s="1"/>
  <c r="AE324" i="84" s="1"/>
  <c r="AC120" i="73"/>
  <c r="L328" i="84" s="1"/>
  <c r="AE328" i="84" s="1"/>
  <c r="AC121" i="73"/>
  <c r="L332" i="84" s="1"/>
  <c r="AE332" i="84" s="1"/>
  <c r="AC122" i="73"/>
  <c r="L336" i="84" s="1"/>
  <c r="AC123" i="73"/>
  <c r="L340" i="84" s="1"/>
  <c r="AE340" i="84" s="1"/>
  <c r="AC124" i="73"/>
  <c r="L344" i="84" s="1"/>
  <c r="AE344" i="84" s="1"/>
  <c r="AC125" i="73"/>
  <c r="L348" i="84" s="1"/>
  <c r="AE348" i="84" s="1"/>
  <c r="AC126" i="73"/>
  <c r="L352" i="84" s="1"/>
  <c r="AE352" i="84" s="1"/>
  <c r="AC127" i="73"/>
  <c r="L356" i="84" s="1"/>
  <c r="AE356" i="84" s="1"/>
  <c r="AC128" i="73"/>
  <c r="L360" i="84" s="1"/>
  <c r="AE360" i="84" s="1"/>
  <c r="AC129" i="73"/>
  <c r="L364" i="84" s="1"/>
  <c r="AE364" i="84" s="1"/>
  <c r="AC130" i="73"/>
  <c r="L368" i="84" s="1"/>
  <c r="AE368" i="84" s="1"/>
  <c r="AC131" i="73"/>
  <c r="L372" i="84" s="1"/>
  <c r="AE372" i="84" s="1"/>
  <c r="AC132" i="73"/>
  <c r="L376" i="84" s="1"/>
  <c r="AE376" i="84" s="1"/>
  <c r="AC133" i="73"/>
  <c r="L380" i="84" s="1"/>
  <c r="AE380" i="84" s="1"/>
  <c r="AC134" i="73"/>
  <c r="L384" i="84" s="1"/>
  <c r="AE384" i="84" s="1"/>
  <c r="AC135" i="73"/>
  <c r="L388" i="84" s="1"/>
  <c r="AE388" i="84" s="1"/>
  <c r="AC136" i="73"/>
  <c r="L392" i="84" s="1"/>
  <c r="AE392" i="84" s="1"/>
  <c r="AC137" i="73"/>
  <c r="L396" i="84" s="1"/>
  <c r="AE396" i="84" s="1"/>
  <c r="AC138" i="73"/>
  <c r="L400" i="84" s="1"/>
  <c r="AE400" i="84" s="1"/>
  <c r="AC139"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G56" i="84" l="1"/>
  <c r="AM59"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I8" i="88" l="1"/>
  <c r="H6" i="78"/>
  <c r="AL36" i="88"/>
  <c r="AL28" i="88"/>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<sst xmlns="http://schemas.openxmlformats.org/spreadsheetml/2006/main" count="7780" uniqueCount="2650">
  <si>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</si>
  <si>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</si>
  <si>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</si>
  <si>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</si>
  <si>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</si>
  <si>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</si>
  <si>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</si>
  <si>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</si>
  <si>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</si>
  <si>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</si>
  <si>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</si>
  <si>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</si>
  <si>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</si>
  <si>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</si>
  <si>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</si>
  <si>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</si>
  <si>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</si>
  <si>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</si>
  <si>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</si>
  <si>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</si>
  <si>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</si>
  <si>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</si>
  <si>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</si>
  <si>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</si>
  <si>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</si>
  <si>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</si>
  <si>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</si>
  <si>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</si>
  <si>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</si>
  <si>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</si>
  <si>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</si>
  <si>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</si>
  <si>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</si>
  <si>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</si>
  <si>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</si>
  <si>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</si>
  <si>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</si>
  <si>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</si>
  <si>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</si>
  <si>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</si>
  <si>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</si>
  <si>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</si>
  <si>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</si>
  <si>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</si>
  <si>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</si>
  <si>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</si>
  <si>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</si>
  <si>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</si>
  <si>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</si>
  <si>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</si>
  <si>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</si>
  <si>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</si>
  <si>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</si>
  <si>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</si>
  <si>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</si>
  <si>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</si>
  <si>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</si>
  <si>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</si>
  <si>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</si>
  <si>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</si>
  <si>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</si>
  <si>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</si>
  <si>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</si>
  <si>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</si>
  <si>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</si>
  <si>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</si>
  <si>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</si>
  <si>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</si>
  <si>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</si>
  <si>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</si>
  <si>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</si>
  <si>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</si>
  <si>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</si>
  <si>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</si>
  <si>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</si>
  <si>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</si>
  <si>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</si>
  <si>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</si>
  <si>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</si>
  <si>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</si>
  <si>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</si>
  <si>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</si>
  <si>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</si>
  <si>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</si>
  <si>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</si>
  <si>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</si>
  <si>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</si>
  <si>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</si>
  <si>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</si>
  <si>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</si>
  <si>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</si>
  <si>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</si>
  <si>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</si>
  <si>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</si>
  <si>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</si>
  <si>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</si>
  <si>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</si>
  <si>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</si>
  <si>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</si>
  <si>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</si>
  <si>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</si>
  <si>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</si>
  <si>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</si>
  <si>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</si>
  <si>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</si>
  <si>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</si>
  <si>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</si>
  <si>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</si>
  <si>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</si>
  <si>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</si>
  <si>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</si>
  <si>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</si>
  <si>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</si>
  <si>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</si>
  <si>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</si>
  <si>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</si>
  <si>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</si>
  <si>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</si>
  <si>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</si>
  <si>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</si>
  <si>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</si>
  <si>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</si>
  <si>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</si>
  <si>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</si>
  <si>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</si>
  <si>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</si>
  <si>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</si>
  <si>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</si>
  <si>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</si>
  <si>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</si>
  <si>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</si>
  <si>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</si>
  <si>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</si>
  <si>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</si>
  <si>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</si>
  <si>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</si>
  <si>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</si>
  <si>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</si>
  <si>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</si>
  <si>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</si>
  <si>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</si>
  <si>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</si>
  <si>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</si>
  <si>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</si>
  <si>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</si>
  <si>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</si>
  <si>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</si>
  <si>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</si>
  <si>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</si>
  <si>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</si>
  <si>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</si>
  <si>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</si>
  <si>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</si>
  <si>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</si>
  <si>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</si>
  <si>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</si>
  <si>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</si>
  <si>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</si>
  <si>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</si>
  <si>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</si>
  <si>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</si>
  <si>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</si>
  <si>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</si>
  <si>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</si>
  <si>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</si>
  <si>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</si>
  <si>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</si>
  <si>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</si>
  <si>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</si>
  <si>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</si>
  <si>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</si>
  <si>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</si>
  <si>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</si>
  <si>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</si>
  <si>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</si>
  <si>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</si>
  <si>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</si>
  <si>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</si>
  <si>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</si>
  <si>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</si>
  <si>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</si>
  <si>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</si>
  <si>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</si>
  <si>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</si>
  <si>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</si>
  <si>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</si>
  <si>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</si>
  <si>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</si>
  <si>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</si>
  <si>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</si>
  <si>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</si>
  <si>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</si>
  <si>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</si>
  <si>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</si>
  <si>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</si>
  <si>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</si>
  <si>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</si>
  <si>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</si>
  <si>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</si>
  <si>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</si>
  <si>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</si>
  <si>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</si>
  <si>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</si>
  <si>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</si>
  <si>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</si>
  <si>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</si>
  <si>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</si>
  <si>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</si>
  <si>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</si>
  <si>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</si>
  <si>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</si>
  <si>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</si>
  <si>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</si>
  <si>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</si>
  <si>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</si>
  <si>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</si>
  <si>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</si>
  <si>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</si>
  <si>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</si>
  <si>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</si>
  <si>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</si>
  <si>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</si>
  <si>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</si>
  <si>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</si>
  <si>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</si>
  <si>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</si>
  <si>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</si>
  <si>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</si>
  <si>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</si>
  <si>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</si>
  <si>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</si>
  <si>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</si>
  <si>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</si>
  <si>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</si>
  <si>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</si>
  <si>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</si>
  <si>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</si>
  <si>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</si>
  <si>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</si>
  <si>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</si>
  <si>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</si>
  <si>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</si>
  <si>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</si>
  <si>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</si>
  <si>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</si>
  <si>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</si>
  <si>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</si>
  <si>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</si>
  <si>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</si>
  <si>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</si>
  <si>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</si>
  <si>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</si>
  <si>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</si>
  <si>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</si>
  <si>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</si>
  <si>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</si>
  <si>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</si>
  <si>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</si>
  <si>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</si>
  <si>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</si>
  <si>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</si>
  <si>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</si>
  <si>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</si>
  <si>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</si>
  <si>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</si>
  <si>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</si>
  <si>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</si>
  <si>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</si>
  <si>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</si>
  <si>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</si>
  <si>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</si>
  <si>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</si>
  <si>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</si>
  <si>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</si>
  <si>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</si>
  <si>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</si>
  <si>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</si>
  <si>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</si>
  <si>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</si>
  <si>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</si>
  <si>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</si>
  <si>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</si>
  <si>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</si>
  <si>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</si>
  <si>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</si>
  <si>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</si>
  <si>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</si>
  <si>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</si>
  <si>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</si>
  <si>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</si>
  <si>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</si>
  <si>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</si>
  <si>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</si>
  <si>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</si>
  <si>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</si>
  <si>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</si>
  <si>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</si>
  <si>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</si>
  <si>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</si>
  <si>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</si>
  <si>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</si>
  <si>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</si>
  <si>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</si>
  <si>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</si>
  <si>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</si>
  <si>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</si>
  <si>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</si>
  <si>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</si>
  <si>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</si>
  <si>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</si>
  <si>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</si>
  <si>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</si>
  <si>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</si>
  <si>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</si>
  <si>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</si>
  <si>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</si>
  <si>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</si>
  <si>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</si>
  <si>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</si>
  <si>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</si>
  <si>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</si>
  <si>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</si>
  <si>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</si>
  <si>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</si>
  <si>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</si>
  <si>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</si>
  <si>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</si>
  <si>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</si>
  <si>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</si>
  <si>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</si>
  <si>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</si>
  <si>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</si>
  <si>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</si>
  <si>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</si>
  <si>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</si>
  <si>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</si>
  <si>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</si>
  <si>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</si>
  <si>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</si>
  <si>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</si>
  <si>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</si>
  <si>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</si>
  <si>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</si>
  <si>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</si>
  <si>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</si>
  <si>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</si>
  <si>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</si>
  <si>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</si>
  <si>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</si>
  <si>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</si>
  <si>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</si>
  <si>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</si>
  <si>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</si>
  <si>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</si>
  <si>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</si>
  <si>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</si>
  <si>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</si>
  <si>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</si>
  <si>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</si>
  <si>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</si>
  <si>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</si>
  <si>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</si>
  <si>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</si>
  <si>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</si>
  <si>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</si>
  <si>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</si>
  <si>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</si>
  <si>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</si>
  <si>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</si>
  <si>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</si>
  <si>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</si>
  <si>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</si>
  <si>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</si>
  <si>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</si>
  <si>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</si>
  <si>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</si>
  <si>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</si>
  <si>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</si>
  <si>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</si>
  <si>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</si>
  <si>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</si>
  <si>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</si>
  <si>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</si>
  <si>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</si>
  <si>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</si>
  <si>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</si>
  <si>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</si>
  <si>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</si>
  <si>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</si>
  <si>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</si>
  <si>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</si>
  <si>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</si>
  <si>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</si>
  <si>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</si>
  <si>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</si>
  <si>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</si>
  <si>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</si>
  <si>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</si>
  <si>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</si>
  <si>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</si>
  <si>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</si>
  <si>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</si>
  <si>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</si>
  <si>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</si>
  <si>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</si>
  <si>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</si>
  <si>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</si>
  <si>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</si>
  <si>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</si>
  <si>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</si>
  <si>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</si>
  <si>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</si>
  <si>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</si>
  <si>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</si>
  <si>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</si>
  <si>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</si>
  <si>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</si>
  <si>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</si>
  <si>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</si>
  <si>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</si>
  <si>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</si>
  <si>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</si>
  <si>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</si>
  <si>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</si>
  <si>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</si>
  <si>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</si>
  <si>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</si>
  <si>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</si>
  <si>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</si>
  <si>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</si>
  <si>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</si>
  <si>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</si>
  <si>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</si>
  <si>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</si>
  <si>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</si>
  <si>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</si>
  <si>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</si>
  <si>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</si>
  <si>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</si>
  <si>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</si>
  <si>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</si>
  <si>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</si>
  <si>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</si>
  <si>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</si>
  <si>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</si>
  <si>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</si>
  <si>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</si>
  <si>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</si>
  <si>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</si>
  <si>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</si>
  <si>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</si>
  <si>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</si>
  <si>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</si>
  <si>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</si>
  <si>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</si>
  <si>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</si>
  <si>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</si>
  <si>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</si>
  <si>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</si>
  <si>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</si>
  <si>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</si>
  <si>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</si>
  <si>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</si>
  <si>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</si>
  <si>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</si>
  <si>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</si>
  <si>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</si>
  <si>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</si>
  <si>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</si>
  <si>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</si>
  <si>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</si>
  <si>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</si>
  <si>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</si>
  <si>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</si>
  <si>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</si>
  <si>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</si>
  <si>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</si>
  <si>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</si>
  <si>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</si>
  <si>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</si>
  <si>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</si>
  <si>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</si>
  <si>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</si>
  <si>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</si>
  <si>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</si>
  <si>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</si>
  <si>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</si>
  <si>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</si>
  <si>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</si>
  <si>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</si>
  <si>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</si>
  <si>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</si>
  <si>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</si>
  <si>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</si>
  <si>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</si>
  <si>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</si>
  <si>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</si>
  <si>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</si>
  <si>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</si>
  <si>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</si>
  <si>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</si>
  <si>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</si>
  <si>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</si>
  <si>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</si>
  <si>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</si>
  <si>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</si>
  <si>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</si>
  <si>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</si>
  <si>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</si>
  <si>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</si>
  <si>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</si>
  <si>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</si>
  <si>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</si>
  <si>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</si>
  <si>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</si>
  <si>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</si>
  <si>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</si>
  <si>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</si>
  <si>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</si>
  <si>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</si>
  <si>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</si>
  <si>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</si>
  <si>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</si>
  <si>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</si>
  <si>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</si>
  <si>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</si>
  <si>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</si>
  <si>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</si>
  <si>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</si>
  <si>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</si>
  <si>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</si>
  <si>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</si>
  <si>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</si>
  <si>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</si>
  <si>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</si>
  <si>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</si>
  <si>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</si>
  <si>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</si>
  <si>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</si>
  <si>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</si>
  <si>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</si>
  <si>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</si>
  <si>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</si>
  <si>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</si>
  <si>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</si>
  <si>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</si>
  <si>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</si>
  <si>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</si>
  <si>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</si>
  <si>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</si>
  <si>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</si>
  <si>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</si>
  <si>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</si>
  <si>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</si>
  <si>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</si>
  <si>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</si>
  <si>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</si>
  <si>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</si>
  <si>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</si>
  <si>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</si>
  <si>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</si>
  <si>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</si>
  <si>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</si>
  <si>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</si>
  <si>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</si>
  <si>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</si>
  <si>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</si>
  <si>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</si>
  <si>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</si>
  <si>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</si>
  <si>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</si>
  <si>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</si>
  <si>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</si>
  <si>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</si>
  <si>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</si>
  <si>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</si>
  <si>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</si>
  <si>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</si>
  <si>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</si>
  <si>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</si>
  <si>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</si>
  <si>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</si>
  <si>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</si>
  <si>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</si>
  <si>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</si>
  <si>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</si>
  <si>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</si>
  <si>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</si>
  <si>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</si>
  <si>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</si>
  <si>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</si>
  <si>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</si>
  <si>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</si>
  <si>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</si>
  <si>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</si>
  <si>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</si>
  <si>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</si>
  <si>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</si>
  <si>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</si>
  <si>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</si>
  <si>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</si>
  <si>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</si>
  <si>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</si>
  <si>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</si>
  <si>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</si>
  <si>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</si>
  <si>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</si>
  <si>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</si>
  <si>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</si>
  <si>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</si>
  <si>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</si>
  <si>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</si>
  <si>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</si>
  <si>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</si>
  <si>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</si>
  <si>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</si>
  <si>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</si>
  <si>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</si>
  <si>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</si>
  <si>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</si>
  <si>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</si>
  <si>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</si>
  <si>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</si>
  <si>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</si>
  <si>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</si>
  <si>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</si>
  <si>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</si>
  <si>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</si>
  <si>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</si>
  <si>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</si>
  <si>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</si>
  <si>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</si>
  <si>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</si>
  <si>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</si>
  <si>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</si>
  <si>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</si>
  <si>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</si>
  <si>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</si>
  <si>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</si>
  <si>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</si>
  <si>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</si>
  <si>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</si>
  <si>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</si>
  <si>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</si>
  <si>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</si>
  <si>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</si>
  <si>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</si>
  <si>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</si>
  <si>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</si>
  <si>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</si>
  <si>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</si>
  <si>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</si>
  <si>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</si>
  <si>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</si>
  <si>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</si>
  <si>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</si>
  <si>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</si>
  <si>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</si>
  <si>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</si>
  <si>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</si>
  <si>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</si>
  <si>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</si>
  <si>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</si>
  <si>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</si>
  <si>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</si>
  <si>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</si>
  <si>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</si>
  <si>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</si>
  <si>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</si>
  <si>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</si>
  <si>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</si>
  <si>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</si>
  <si>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</si>
  <si>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</si>
  <si>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</si>
  <si>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</si>
  <si>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</si>
  <si>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</si>
  <si>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</si>
  <si>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</si>
  <si>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</si>
  <si>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</si>
  <si>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</si>
  <si>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</si>
  <si>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</si>
  <si>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</si>
  <si>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</si>
  <si>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</si>
  <si>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</si>
  <si>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</si>
  <si>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</si>
  <si>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</si>
  <si>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</si>
  <si>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</si>
  <si>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</si>
  <si>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</si>
  <si>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</si>
  <si>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</si>
  <si>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</si>
  <si>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</si>
  <si>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</si>
  <si>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</si>
  <si>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</si>
  <si>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</si>
  <si>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</si>
  <si>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</si>
  <si>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</si>
  <si>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</si>
  <si>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</si>
  <si>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</si>
  <si>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</si>
  <si>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</si>
  <si>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</si>
  <si>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</si>
  <si>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</si>
  <si>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</si>
  <si>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</si>
  <si>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</si>
  <si>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</si>
  <si>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</si>
  <si>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</si>
  <si>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</si>
  <si>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</si>
  <si>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</si>
  <si>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</si>
  <si>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</si>
  <si>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</si>
  <si>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</si>
  <si>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</si>
  <si>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</si>
  <si>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</si>
  <si>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</si>
  <si>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</si>
  <si>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</si>
  <si>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</si>
  <si>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</si>
  <si>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</si>
  <si>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</si>
  <si>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</si>
  <si>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</si>
  <si>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</si>
  <si>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</si>
  <si>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</si>
  <si>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</si>
  <si>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</si>
  <si>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</si>
  <si>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</si>
  <si>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</si>
  <si>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</si>
  <si>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</si>
  <si>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</si>
  <si>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</si>
  <si>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</si>
  <si>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</si>
  <si>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</si>
  <si>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</si>
  <si>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</si>
  <si>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</si>
  <si>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</si>
  <si>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</si>
  <si>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</si>
  <si>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</si>
  <si>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</si>
  <si>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</si>
  <si>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</si>
  <si>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</si>
  <si>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</si>
  <si>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</si>
  <si>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</si>
  <si>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</si>
  <si>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</si>
  <si>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</si>
  <si>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</si>
  <si>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</si>
  <si>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</si>
  <si>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</si>
  <si>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</si>
  <si>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</si>
  <si>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</si>
  <si>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</si>
  <si>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</si>
  <si>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</si>
  <si>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</si>
  <si>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</si>
  <si>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</si>
  <si>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</si>
  <si>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</si>
  <si>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</si>
  <si>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</si>
  <si>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</si>
  <si>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</si>
  <si>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</si>
  <si>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</si>
  <si>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</si>
  <si>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</si>
  <si>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</si>
  <si>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</si>
  <si>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</si>
  <si>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</si>
  <si>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</si>
  <si>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</si>
  <si>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</si>
  <si>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</si>
  <si>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</si>
  <si>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</si>
  <si>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</si>
  <si>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</si>
  <si>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</si>
  <si>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</si>
  <si>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</si>
  <si>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</si>
  <si>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</si>
  <si>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</si>
  <si>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</si>
  <si>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</si>
  <si>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</si>
  <si>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</si>
  <si>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</si>
  <si>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</si>
  <si>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</si>
  <si>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</si>
  <si>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</si>
  <si>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</si>
  <si>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</si>
  <si>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</si>
  <si>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</si>
  <si>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</si>
  <si>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</si>
  <si>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</si>
  <si>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</si>
  <si>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</si>
  <si>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</si>
  <si>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</si>
  <si>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</si>
  <si>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</si>
  <si>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</si>
  <si>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</si>
  <si>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</si>
  <si>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</si>
  <si>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</si>
  <si>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</si>
  <si>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</si>
  <si>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</si>
  <si>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</si>
  <si>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</si>
  <si>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</si>
  <si>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</si>
  <si>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</si>
  <si>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</si>
  <si>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</si>
  <si>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</si>
  <si>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</si>
  <si>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</si>
  <si>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</si>
  <si>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</si>
  <si>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</si>
  <si>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</si>
  <si>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</si>
  <si>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</si>
  <si>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</si>
  <si>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</si>
  <si>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</si>
  <si>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</si>
  <si>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</si>
  <si>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</si>
  <si>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</si>
  <si>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</si>
  <si>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</si>
  <si>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</si>
  <si>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</si>
  <si>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</si>
  <si>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</si>
  <si>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</si>
  <si>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</si>
  <si>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</si>
  <si>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</si>
  <si>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</si>
  <si>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</si>
  <si>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</si>
  <si>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</si>
  <si>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</si>
  <si>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</si>
  <si>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</si>
  <si>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</si>
  <si>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</si>
  <si>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</si>
  <si>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</si>
  <si>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</si>
  <si>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</si>
  <si>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</si>
  <si>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</si>
  <si>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</si>
  <si>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</si>
  <si>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</si>
  <si>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</si>
  <si>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</si>
  <si>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</si>
  <si>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</si>
  <si>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</si>
  <si>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</si>
  <si>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</si>
  <si>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</si>
  <si>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</si>
  <si>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</si>
  <si>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</si>
  <si>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</si>
  <si>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</si>
  <si>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</si>
  <si>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</si>
  <si>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</si>
  <si>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</si>
  <si>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</si>
  <si>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</si>
  <si>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</si>
  <si>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</si>
  <si>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</si>
  <si>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</si>
  <si>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</si>
  <si>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</si>
  <si>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</si>
  <si>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</si>
  <si>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</si>
  <si>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</si>
  <si>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</si>
  <si>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</si>
  <si>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</si>
  <si>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</si>
  <si>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</si>
  <si>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</si>
  <si>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</si>
  <si>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</si>
  <si>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</si>
  <si>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</si>
  <si>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</si>
  <si>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</si>
  <si>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</si>
  <si>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</si>
  <si>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</si>
  <si>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</si>
  <si>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</si>
  <si>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</si>
  <si>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</si>
  <si>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</si>
  <si>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</si>
  <si>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</si>
  <si>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</si>
  <si>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</si>
  <si>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</si>
  <si>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</si>
  <si>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</si>
  <si>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</si>
  <si>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</si>
  <si>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</si>
  <si>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</si>
  <si>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</si>
  <si>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</si>
  <si>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</si>
  <si>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</si>
  <si>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</si>
  <si>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</si>
  <si>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</si>
  <si>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</si>
  <si>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</si>
  <si>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</si>
  <si>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</si>
  <si>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</si>
  <si>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</si>
  <si>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</si>
  <si>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</si>
  <si>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</si>
  <si>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</si>
  <si>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</si>
  <si>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</si>
  <si>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</si>
  <si>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</si>
  <si>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</si>
  <si>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</si>
  <si>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</si>
  <si>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</si>
  <si>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</si>
  <si>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</si>
  <si>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</si>
  <si>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</si>
  <si>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</si>
  <si>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</si>
  <si>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</si>
  <si>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</si>
  <si>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</si>
  <si>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</si>
  <si>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</si>
  <si>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</si>
  <si>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</si>
  <si>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</si>
  <si>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</si>
  <si>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</si>
  <si>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</si>
  <si>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</si>
  <si>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</si>
  <si>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</si>
  <si>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</si>
  <si>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</si>
  <si>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</si>
  <si>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</si>
  <si>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</si>
  <si>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</si>
  <si>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</si>
  <si>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</si>
  <si>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</si>
  <si>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</si>
  <si>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</si>
  <si>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</si>
  <si>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</si>
  <si>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</si>
  <si>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</si>
  <si>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</si>
  <si>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</si>
  <si>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</si>
  <si>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</si>
  <si>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</si>
  <si>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</si>
  <si>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</si>
  <si>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</si>
  <si>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</si>
  <si>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</si>
  <si>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</si>
  <si>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</si>
  <si>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</si>
  <si>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</si>
  <si>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</si>
  <si>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</si>
  <si>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</si>
  <si>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</si>
  <si>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</si>
  <si>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</si>
  <si>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</si>
  <si>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</si>
  <si>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</si>
  <si>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</si>
  <si>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</si>
  <si>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</si>
  <si>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</si>
  <si>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</si>
  <si>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</si>
  <si>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</si>
  <si>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</si>
  <si>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</si>
  <si>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</si>
  <si>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</si>
  <si>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</si>
  <si>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</si>
  <si>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</si>
  <si>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</si>
  <si>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</si>
  <si>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</si>
  <si>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</si>
  <si>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</si>
  <si>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</si>
  <si>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</si>
  <si>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</si>
  <si>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</si>
  <si>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</si>
  <si>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</si>
  <si>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</si>
  <si>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</si>
  <si>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</si>
  <si>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</si>
  <si>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</si>
  <si>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</si>
  <si>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</si>
  <si>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</si>
  <si>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</si>
  <si>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</si>
  <si>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</si>
  <si>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</si>
  <si>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</si>
  <si>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</si>
  <si>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</si>
  <si>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</si>
  <si>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</si>
  <si>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</si>
  <si>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</si>
  <si>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</si>
  <si>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</si>
  <si>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</si>
  <si>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</si>
  <si>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</si>
  <si>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</si>
  <si>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</si>
  <si>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</si>
  <si>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</si>
  <si>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</si>
  <si>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</si>
  <si>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</si>
  <si>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</si>
  <si>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</si>
  <si>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</si>
  <si>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</si>
  <si>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</si>
  <si>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</si>
  <si>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</si>
  <si>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</si>
  <si>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</si>
  <si>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</si>
  <si>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</si>
  <si>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</si>
  <si>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</si>
  <si>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</si>
  <si>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</si>
  <si>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</si>
  <si>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</si>
  <si>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</si>
  <si>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</si>
  <si>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</si>
  <si>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</si>
  <si>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</si>
  <si>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</si>
  <si>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</si>
  <si>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</si>
  <si>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</si>
  <si>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</si>
  <si>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</si>
  <si>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</si>
  <si>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</si>
  <si>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</si>
  <si>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</si>
  <si>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</si>
  <si>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</si>
  <si>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</si>
  <si>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</si>
  <si>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</si>
  <si>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</si>
  <si>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</si>
  <si>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</si>
  <si>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</si>
  <si>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</si>
  <si>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</si>
  <si>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</si>
  <si>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</si>
  <si>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</si>
  <si>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</si>
  <si>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</si>
  <si>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</si>
  <si>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</si>
  <si>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</si>
  <si>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</si>
  <si>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</si>
  <si>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</si>
  <si>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</si>
  <si>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</si>
  <si>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</si>
  <si>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</si>
  <si>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</si>
  <si>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</si>
  <si>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</si>
  <si>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</si>
  <si>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</si>
  <si>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</si>
  <si>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</si>
  <si>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</si>
  <si>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</si>
  <si>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</si>
  <si>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</si>
  <si>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</si>
  <si>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</si>
  <si>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</si>
  <si>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</si>
  <si>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</si>
  <si>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</si>
  <si>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</si>
  <si>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</si>
  <si>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</si>
  <si>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</si>
  <si>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</si>
  <si>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</si>
  <si>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</si>
  <si>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</si>
  <si>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</si>
  <si>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</si>
  <si>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</si>
  <si>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</si>
  <si>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</si>
  <si>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</si>
  <si>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</si>
  <si>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</si>
  <si>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</si>
  <si>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</si>
  <si>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</si>
  <si>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</si>
  <si>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</si>
  <si>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</si>
  <si>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</si>
  <si>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</si>
  <si>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</si>
  <si>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</si>
  <si>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</si>
  <si>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</si>
  <si>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</si>
  <si>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</si>
  <si>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</si>
  <si>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</si>
  <si>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</si>
  <si>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</si>
  <si>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</si>
  <si>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</si>
  <si>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</si>
  <si>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</si>
  <si>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</si>
  <si>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</si>
  <si>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</si>
  <si>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</si>
  <si>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</si>
  <si>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</si>
  <si>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</si>
  <si>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</si>
  <si>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</si>
  <si>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</si>
  <si>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</si>
  <si>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</si>
  <si>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</si>
  <si>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</si>
  <si>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</si>
  <si>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</si>
  <si>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</si>
  <si>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</si>
  <si>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</si>
  <si>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</si>
  <si>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</si>
  <si>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</si>
  <si>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</si>
  <si>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</si>
  <si>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</si>
  <si>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</si>
  <si>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</si>
  <si>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</si>
  <si>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</si>
  <si>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</si>
  <si>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</si>
  <si>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</si>
  <si>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</si>
  <si>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</si>
  <si>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</si>
  <si>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</si>
  <si>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</si>
  <si>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</si>
  <si>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</si>
  <si>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</si>
  <si>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</si>
  <si>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</si>
  <si>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</si>
  <si>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</si>
  <si>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</si>
  <si>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</si>
  <si>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</si>
  <si>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</si>
  <si>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</si>
  <si>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</si>
  <si>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</si>
  <si>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</si>
  <si>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</si>
  <si>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</si>
  <si>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</si>
  <si>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</si>
  <si>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</si>
  <si>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</si>
  <si>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</si>
  <si>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</si>
  <si>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</si>
  <si>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</si>
  <si>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</si>
  <si>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</si>
  <si>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</si>
  <si>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</si>
  <si>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</si>
  <si>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</si>
  <si>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</si>
  <si>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</si>
  <si>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</si>
  <si>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</si>
  <si>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</si>
  <si>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</si>
  <si>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</si>
  <si>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</si>
  <si>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</si>
  <si>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</si>
  <si>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</si>
  <si>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</si>
  <si>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</si>
  <si>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</si>
  <si>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</si>
  <si>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</si>
  <si>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</si>
  <si>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</si>
  <si>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</si>
  <si>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</si>
  <si>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</si>
  <si>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</si>
  <si>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</si>
  <si>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</si>
  <si>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</si>
  <si>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</si>
  <si>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</si>
  <si>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</si>
  <si>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</si>
  <si>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</si>
  <si>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</si>
  <si>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</si>
  <si>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</si>
  <si>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</si>
  <si>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</si>
  <si>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</si>
  <si>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</si>
  <si>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</si>
  <si>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</si>
  <si>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</si>
  <si>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</si>
  <si>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</si>
  <si>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</si>
  <si>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</si>
  <si>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</si>
  <si>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</si>
  <si>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</si>
  <si>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</si>
  <si>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</si>
  <si>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</si>
  <si>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</si>
  <si>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</si>
  <si>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</si>
  <si>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</si>
  <si>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</si>
  <si>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</si>
  <si>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</si>
  <si>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</si>
  <si>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</si>
  <si>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</si>
  <si>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</si>
  <si>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</si>
  <si>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</si>
  <si>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</si>
  <si>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</si>
  <si>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</si>
  <si>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</si>
  <si>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</si>
  <si>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</si>
  <si>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</si>
  <si>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</si>
  <si>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</si>
  <si>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</si>
  <si>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</si>
  <si>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</si>
  <si>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</si>
  <si>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</si>
  <si>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</si>
  <si>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</si>
  <si>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</si>
  <si>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</si>
  <si>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</si>
  <si>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</si>
  <si>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</si>
  <si>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</si>
  <si>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</si>
  <si>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</si>
  <si>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</si>
  <si>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</si>
  <si>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</si>
  <si>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</si>
  <si>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</si>
  <si>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</si>
  <si>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</si>
  <si>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</si>
  <si>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</si>
  <si>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</si>
  <si>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</si>
  <si>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</si>
  <si>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</si>
  <si>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</si>
  <si>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</si>
  <si>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</si>
  <si>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</si>
  <si>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</si>
  <si>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</si>
  <si>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</si>
  <si>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</si>
  <si>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</si>
  <si>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</si>
  <si>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</si>
  <si>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</si>
  <si>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</si>
  <si>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</si>
  <si>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</si>
  <si>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</si>
  <si>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</si>
  <si>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</si>
  <si>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</si>
  <si>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</si>
  <si>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</si>
  <si>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</si>
  <si>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</si>
  <si>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</si>
  <si>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</si>
  <si>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</si>
  <si>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</si>
  <si>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</si>
  <si>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</si>
  <si>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</si>
  <si>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</si>
  <si>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</si>
  <si>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</si>
  <si>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</si>
  <si>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</si>
  <si>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</si>
  <si>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</si>
  <si>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</si>
  <si>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</si>
  <si>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</si>
  <si>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</si>
  <si>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</si>
  <si>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</si>
  <si>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</si>
  <si>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</si>
  <si>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</si>
  <si>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</si>
  <si>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</si>
  <si>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</si>
  <si>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</si>
  <si>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</si>
  <si>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</si>
  <si>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</si>
  <si>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</si>
  <si>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</si>
  <si>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</si>
  <si>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</si>
  <si>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</si>
  <si>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</si>
  <si>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</si>
  <si>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</si>
  <si>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</si>
  <si>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</si>
  <si>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</si>
  <si>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</si>
  <si>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</si>
  <si>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</si>
  <si>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</si>
  <si>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</si>
  <si>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</si>
  <si>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</si>
  <si>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</si>
  <si>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</si>
  <si>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</si>
  <si>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</si>
  <si>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</si>
  <si>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</si>
  <si>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</si>
  <si>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</si>
  <si>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</si>
  <si>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</si>
  <si>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</si>
  <si>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</si>
  <si>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</si>
  <si>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</si>
  <si>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</si>
  <si>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</si>
  <si>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</si>
  <si>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</si>
  <si>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</si>
  <si>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</si>
  <si>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</si>
  <si>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</si>
  <si>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</si>
  <si>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</si>
  <si>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</si>
  <si>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</si>
  <si>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</si>
  <si>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</si>
  <si>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</si>
  <si>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</si>
  <si>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</si>
  <si>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</si>
  <si>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</si>
  <si>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</si>
  <si>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</si>
  <si>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</si>
  <si>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</si>
  <si>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</si>
  <si>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</si>
  <si>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</si>
  <si>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</si>
  <si>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</si>
  <si>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</si>
  <si>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</si>
  <si>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</si>
  <si>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</si>
  <si>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</si>
  <si>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</si>
  <si>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</si>
  <si>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</si>
  <si>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</si>
  <si>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</si>
  <si>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</si>
  <si>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</si>
  <si>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</si>
  <si>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</si>
  <si>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</si>
  <si>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</si>
  <si>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</si>
  <si>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</si>
  <si>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</si>
  <si>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</si>
  <si>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</si>
  <si>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</si>
  <si>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</si>
  <si>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</si>
  <si>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</si>
  <si>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</si>
  <si>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</si>
  <si>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</si>
  <si>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</si>
  <si>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</si>
  <si>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</si>
  <si>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</si>
  <si>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</si>
  <si>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</si>
  <si>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</si>
  <si>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</si>
  <si>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</si>
  <si>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</si>
  <si>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</si>
  <si>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</si>
  <si>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</si>
  <si>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</si>
  <si>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</si>
  <si>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</si>
  <si>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</si>
  <si>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</si>
  <si>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</si>
  <si>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</si>
  <si>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</si>
  <si>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</si>
  <si>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</si>
  <si>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</si>
  <si>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</si>
  <si>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</si>
  <si>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</si>
  <si>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</si>
  <si>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</si>
  <si>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</si>
  <si>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</si>
  <si>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</si>
  <si>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</si>
  <si>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</si>
  <si>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</si>
  <si>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</si>
  <si>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</si>
  <si>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</si>
  <si>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</si>
  <si>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</si>
  <si>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</si>
  <si>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</si>
  <si>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</si>
  <si>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</si>
  <si>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</si>
  <si>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</si>
  <si>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</si>
  <si>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</si>
  <si>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</si>
  <si>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</si>
  <si>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</si>
  <si>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</si>
  <si>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</si>
  <si>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</si>
  <si>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</si>
  <si>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</si>
  <si>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</si>
  <si>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</si>
  <si>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</si>
  <si>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</si>
  <si>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</si>
  <si>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</si>
  <si>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</si>
  <si>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</si>
  <si>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</si>
  <si>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</si>
  <si>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</si>
  <si>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</si>
  <si>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</si>
  <si>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</si>
  <si>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</si>
  <si>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</si>
  <si>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</si>
  <si>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</si>
  <si>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</si>
  <si>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</si>
  <si>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</si>
  <si>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</si>
  <si>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</si>
  <si>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</si>
  <si>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</si>
  <si>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</si>
  <si>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</si>
  <si>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</si>
  <si>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</si>
  <si>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</si>
  <si>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</si>
  <si>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</si>
  <si>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</si>
  <si>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</si>
  <si>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</si>
  <si>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</si>
  <si>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</si>
  <si>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</si>
  <si>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</si>
  <si>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</si>
  <si>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</si>
  <si>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</si>
  <si>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</si>
  <si>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</si>
  <si>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</si>
  <si>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</si>
  <si>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</si>
  <si>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</si>
  <si>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</si>
  <si>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</si>
  <si>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</si>
  <si>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</si>
  <si>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</si>
  <si>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</si>
  <si>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</si>
  <si>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</si>
  <si>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</si>
  <si>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</si>
  <si>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</si>
  <si>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</si>
  <si>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</si>
  <si>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</si>
  <si>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</si>
  <si>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</si>
  <si>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</si>
  <si>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</si>
  <si>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</si>
  <si>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</si>
  <si>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</si>
  <si>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</si>
  <si>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</si>
  <si>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</si>
  <si>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</si>
  <si>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</si>
  <si>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</si>
  <si>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</si>
  <si>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</si>
  <si>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</si>
  <si>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</si>
  <si>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</si>
  <si>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</si>
  <si>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</si>
  <si>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</si>
  <si>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</si>
  <si>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</si>
  <si>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</si>
  <si>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</si>
  <si>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</si>
  <si>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</si>
  <si>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</si>
  <si>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</si>
  <si>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</si>
  <si>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</si>
  <si>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</si>
  <si>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</si>
  <si>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</si>
  <si>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</si>
  <si>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</si>
  <si>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</si>
  <si>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</si>
  <si>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</si>
  <si>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</si>
  <si>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</si>
  <si>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</si>
  <si>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</si>
  <si>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</si>
  <si>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</si>
  <si>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</si>
  <si>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</si>
  <si>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</si>
  <si>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</si>
  <si>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</si>
  <si>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</si>
  <si>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</si>
  <si>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</si>
  <si>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</si>
  <si>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</si>
  <si>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</si>
  <si>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</si>
  <si>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</si>
  <si>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</si>
  <si>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</si>
  <si>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</si>
  <si>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</si>
  <si>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</si>
  <si>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</si>
  <si>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</si>
  <si>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</si>
  <si>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</si>
  <si>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</si>
  <si>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</si>
  <si>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</si>
  <si>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</si>
  <si>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</si>
  <si>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</si>
  <si>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</si>
  <si>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</si>
  <si>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</si>
  <si>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</si>
  <si>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</si>
  <si>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</si>
  <si>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</si>
  <si>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</si>
  <si>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</si>
  <si>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</si>
  <si>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</si>
  <si>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</si>
  <si>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</si>
  <si>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</si>
  <si>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</si>
  <si>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</si>
  <si>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</si>
  <si>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</si>
  <si>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</si>
  <si>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</si>
  <si>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</si>
  <si>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</si>
  <si>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</si>
  <si>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</si>
  <si>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</si>
  <si>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</si>
  <si>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</si>
  <si>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</si>
  <si>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</si>
  <si>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</si>
  <si>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</si>
  <si>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</si>
  <si>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</si>
  <si>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</si>
  <si>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</si>
  <si>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</si>
  <si>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</si>
  <si>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</si>
  <si>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</si>
  <si>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</si>
  <si>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</si>
  <si>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</si>
  <si>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</si>
  <si>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</si>
  <si>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</si>
  <si>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</si>
  <si>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</si>
  <si>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</si>
  <si>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</si>
  <si>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</si>
  <si>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</si>
  <si>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</si>
  <si>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</si>
  <si>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</si>
  <si>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</si>
  <si>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</si>
  <si>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</si>
  <si>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</si>
  <si>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</si>
  <si>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</si>
  <si>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</si>
  <si>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</si>
  <si>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</si>
  <si>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</si>
  <si>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</si>
  <si>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</si>
  <si>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</si>
  <si>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</si>
  <si>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</si>
  <si>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</si>
  <si>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</si>
  <si>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</si>
  <si>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</si>
  <si>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</si>
  <si>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</si>
  <si>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</si>
  <si>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</si>
  <si>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</si>
  <si>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</si>
  <si>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</si>
  <si>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</si>
  <si>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</si>
  <si>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</si>
  <si>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</si>
  <si>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</si>
  <si>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</si>
  <si>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</si>
  <si>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</si>
  <si>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</si>
  <si>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</si>
  <si>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</si>
  <si>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</si>
  <si>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</si>
  <si>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</si>
  <si>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</si>
  <si>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</si>
  <si>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</si>
  <si>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</si>
  <si>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</si>
  <si>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</si>
  <si>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</si>
  <si>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</si>
  <si>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</si>
  <si>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</si>
  <si>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</si>
  <si>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</si>
  <si>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</si>
  <si>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</si>
  <si>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</si>
  <si>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</si>
  <si>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</si>
  <si>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</si>
  <si>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</si>
  <si>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</si>
  <si>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</si>
  <si>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</si>
  <si>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</si>
  <si>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</si>
  <si>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</si>
  <si>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</si>
  <si>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</si>
  <si>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</si>
  <si>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</si>
  <si>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</si>
  <si>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</si>
  <si>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</si>
  <si>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</si>
  <si>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</si>
  <si>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</si>
  <si>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</si>
  <si>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</si>
  <si>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</si>
  <si>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</si>
  <si>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</si>
  <si>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</si>
  <si>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</si>
  <si>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</si>
  <si>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</si>
  <si>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</si>
  <si>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</si>
  <si>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</si>
  <si>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</si>
  <si>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</si>
  <si>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</si>
  <si>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</si>
  <si>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</si>
  <si>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</si>
  <si>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</si>
  <si>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</si>
  <si>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</si>
  <si>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</si>
  <si>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</si>
  <si>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</si>
  <si>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</si>
  <si>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</si>
  <si>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</si>
  <si>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</si>
  <si>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</si>
  <si>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</si>
  <si>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</si>
  <si>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</si>
  <si>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</si>
  <si>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</si>
  <si>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</si>
  <si>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</si>
  <si>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</si>
  <si>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</si>
  <si>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</si>
  <si>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</si>
  <si>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</si>
  <si>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</si>
  <si>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</si>
  <si>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</si>
  <si>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</si>
  <si>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</si>
  <si>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</si>
  <si>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</si>
  <si>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</si>
  <si>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</si>
  <si>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</si>
  <si>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</si>
  <si>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</si>
  <si>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</si>
  <si>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</si>
  <si>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</si>
  <si>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</si>
  <si>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</si>
  <si>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</si>
  <si>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</si>
  <si>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</si>
  <si>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</si>
  <si>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</si>
  <si>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</si>
  <si>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</si>
  <si>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</si>
  <si>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</si>
  <si>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</si>
  <si>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</si>
  <si>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</si>
  <si>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</si>
  <si>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</si>
  <si>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</si>
  <si>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</si>
  <si>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</si>
  <si>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</si>
  <si>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</si>
  <si>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</si>
  <si>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</si>
  <si>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</si>
  <si>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</si>
  <si>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</si>
  <si>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</si>
  <si>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</si>
  <si>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</si>
  <si>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</si>
  <si>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</si>
  <si>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</si>
  <si>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</si>
  <si>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</si>
  <si>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</si>
  <si>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</si>
  <si>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</si>
  <si>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</si>
  <si>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</si>
  <si>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</si>
  <si>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</si>
  <si>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</si>
  <si>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</si>
  <si>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</si>
  <si>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</si>
  <si>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</si>
  <si>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</si>
  <si>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</si>
  <si>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</si>
  <si>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</si>
  <si>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</si>
  <si>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</si>
  <si>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</si>
  <si>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</si>
  <si>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</si>
  <si>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</si>
  <si>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</si>
  <si>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</si>
  <si>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</si>
  <si>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</si>
  <si>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</si>
  <si>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</si>
  <si>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</si>
  <si>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</si>
  <si>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</si>
  <si>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</si>
  <si>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</si>
  <si>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</si>
  <si>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</si>
  <si>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</si>
  <si>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</si>
  <si>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</si>
  <si>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</si>
  <si>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</si>
  <si>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</si>
  <si>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</si>
  <si>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</si>
  <si>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</si>
  <si>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</si>
  <si>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</si>
  <si>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</si>
  <si>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</si>
  <si>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</si>
  <si>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</si>
  <si>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</si>
  <si>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</si>
  <si>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</si>
  <si>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</si>
  <si>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</si>
  <si>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</si>
  <si>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</si>
  <si>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</si>
  <si>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</si>
  <si>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</si>
  <si>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</si>
  <si>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</si>
  <si>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</si>
  <si>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</si>
  <si>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</si>
  <si>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</si>
  <si>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</si>
  <si>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</si>
  <si>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</si>
  <si>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</si>
  <si>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</si>
  <si>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</si>
  <si>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</si>
  <si>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</si>
  <si>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</si>
  <si>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</si>
  <si>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</si>
  <si>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</si>
  <si>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</si>
  <si>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</si>
  <si>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</si>
  <si>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</si>
  <si>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</si>
  <si>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</si>
  <si>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</si>
  <si>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</si>
  <si>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</si>
  <si>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</si>
  <si>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</si>
  <si>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</si>
  <si>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</si>
  <si>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</si>
  <si>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</si>
  <si>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</si>
  <si>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</si>
  <si>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</si>
  <si>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</si>
  <si>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</si>
  <si>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</si>
  <si>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</si>
  <si>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</si>
  <si>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</si>
  <si>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</si>
  <si>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</si>
  <si>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</si>
  <si>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</si>
  <si>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</si>
  <si>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</si>
  <si>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</si>
  <si>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</si>
  <si>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</si>
  <si>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</si>
  <si>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</si>
  <si>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</si>
  <si>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</si>
  <si>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</si>
  <si>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</si>
  <si>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</si>
  <si>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</si>
  <si>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</si>
  <si>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</si>
  <si>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</si>
  <si>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</si>
  <si>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</si>
  <si>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</si>
  <si>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</si>
  <si>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</si>
  <si>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</si>
  <si>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</si>
  <si>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</si>
  <si>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</si>
  <si>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</si>
  <si>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</si>
  <si>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</si>
  <si>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</si>
  <si>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</si>
  <si>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</si>
  <si>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</si>
  <si>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</si>
  <si>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</si>
  <si>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</si>
  <si>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</si>
  <si>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</si>
  <si>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</si>
  <si>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</si>
  <si>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</si>
  <si>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</si>
  <si>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</si>
  <si>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</si>
  <si>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</si>
  <si>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</si>
  <si>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</si>
  <si>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</si>
  <si>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</si>
  <si>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</si>
  <si>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</si>
  <si>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</si>
  <si>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</si>
  <si>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</si>
  <si>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</si>
  <si>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</si>
  <si>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</si>
  <si>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</si>
  <si>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</si>
  <si>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</si>
  <si>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</si>
  <si>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</si>
  <si>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</si>
  <si>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</si>
  <si>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</si>
  <si>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</si>
  <si>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</si>
  <si>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</si>
  <si>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</si>
  <si>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</si>
  <si>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</si>
  <si>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</si>
  <si>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</si>
  <si>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</si>
  <si>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</si>
  <si>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</si>
  <si>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</si>
  <si>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</si>
  <si>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</si>
  <si>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</si>
  <si>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</si>
  <si>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</si>
  <si>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</si>
  <si>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</si>
  <si>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</si>
  <si>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</si>
  <si>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</si>
  <si>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</si>
  <si>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</si>
  <si>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</si>
  <si>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</si>
  <si>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</si>
  <si>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</si>
  <si>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</si>
  <si>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</si>
  <si>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</si>
  <si>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</si>
  <si>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</si>
  <si>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</si>
  <si>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</si>
  <si>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</si>
  <si>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</si>
  <si>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</si>
  <si>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</si>
  <si>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</si>
  <si>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</si>
  <si>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</si>
  <si>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</si>
  <si>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</si>
  <si>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</si>
  <si>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</si>
  <si>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</si>
  <si>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</si>
  <si>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</si>
  <si>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</si>
  <si>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</si>
  <si>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</si>
  <si>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</si>
  <si>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</si>
  <si>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</si>
  <si>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</si>
  <si>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</si>
  <si>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</si>
  <si>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</si>
  <si>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</si>
  <si>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</si>
  <si>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</si>
  <si>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</si>
  <si>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</si>
  <si>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</si>
  <si>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</si>
  <si>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</si>
  <si>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</si>
  <si>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</si>
  <si>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</si>
  <si>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</si>
  <si>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</si>
  <si>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</si>
  <si>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</si>
  <si>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</si>
  <si>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</si>
  <si>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</si>
  <si>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</si>
  <si>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</si>
  <si>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</si>
  <si>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</si>
  <si>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</si>
  <si>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</si>
  <si>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</si>
  <si>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</si>
  <si>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</si>
  <si>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</si>
  <si>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</si>
  <si>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</si>
  <si>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</si>
  <si>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</si>
  <si>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</si>
  <si>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</si>
  <si>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</si>
  <si>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</si>
  <si>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</si>
  <si>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</si>
  <si>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</si>
  <si>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</si>
  <si>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</si>
  <si>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</si>
  <si>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</si>
  <si>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</si>
  <si>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</si>
  <si>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</si>
  <si>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</si>
  <si>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</si>
  <si>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</si>
  <si>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</si>
  <si>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</si>
  <si>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</si>
  <si>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</si>
  <si>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</si>
  <si>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</si>
  <si>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</si>
  <si>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</si>
  <si>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</si>
  <si>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</si>
  <si>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</si>
  <si>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</si>
  <si>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</si>
  <si>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</si>
  <si>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</si>
  <si>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</si>
  <si>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</si>
  <si>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</si>
  <si>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</si>
  <si>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</si>
  <si>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</si>
  <si>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</si>
  <si>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</si>
  <si>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</si>
  <si>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</si>
  <si>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</si>
  <si>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</si>
  <si>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</si>
  <si>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</si>
  <si>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</si>
  <si>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</si>
  <si>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</si>
  <si>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</si>
  <si>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</si>
  <si>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</si>
  <si>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</si>
  <si>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</si>
  <si>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</si>
  <si>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</si>
  <si>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</si>
  <si>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</si>
  <si>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</si>
  <si>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</si>
  <si>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</si>
  <si>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</si>
  <si>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</si>
  <si>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</si>
  <si>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</si>
  <si>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</si>
  <si>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</si>
  <si>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</si>
  <si>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</si>
  <si>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</si>
  <si>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</si>
  <si>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</si>
  <si>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</si>
  <si>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</si>
  <si>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</si>
  <si>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</si>
  <si>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</si>
  <si>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</si>
  <si>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</si>
  <si>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</si>
  <si>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</si>
  <si>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</si>
  <si>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</si>
  <si>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</si>
  <si>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</si>
  <si>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</si>
  <si>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</si>
  <si>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</si>
  <si>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</si>
  <si>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</si>
  <si>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</si>
  <si>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</si>
  <si>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</si>
  <si>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</si>
  <si>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</si>
  <si>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</si>
  <si>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</si>
  <si>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</si>
  <si>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</si>
  <si>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</si>
  <si>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</si>
  <si>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</si>
  <si>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</si>
  <si>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</si>
  <si>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</si>
  <si>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</si>
  <si>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</si>
  <si>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</si>
  <si>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</si>
  <si>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</si>
  <si>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</si>
  <si>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</si>
  <si>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</si>
  <si>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</si>
  <si>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</si>
  <si>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</si>
  <si>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</si>
  <si>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</si>
  <si>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</si>
  <si>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</si>
  <si>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</si>
  <si>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</si>
  <si>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</si>
  <si>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</si>
  <si>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</si>
  <si>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</si>
  <si>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</si>
  <si>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</si>
  <si>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</si>
  <si>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</si>
  <si>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</si>
  <si>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</si>
  <si>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</si>
  <si>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</si>
  <si>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</si>
  <si>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</si>
  <si>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</si>
  <si>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</si>
  <si>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</si>
  <si>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</si>
  <si>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</si>
  <si>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</si>
  <si>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</si>
  <si>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</si>
  <si>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</si>
  <si>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</si>
  <si>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</si>
  <si>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</si>
  <si>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</si>
  <si>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</si>
  <si>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</si>
  <si>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</si>
  <si>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</si>
  <si>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</si>
  <si>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</si>
  <si>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</si>
  <si>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</si>
  <si>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</si>
  <si>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</si>
  <si>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</si>
  <si>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</si>
  <si>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</si>
  <si>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</si>
  <si>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</si>
  <si>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</si>
  <si>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</si>
  <si>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</si>
  <si>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</si>
  <si>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</si>
  <si>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</si>
  <si>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</si>
  <si>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</si>
  <si>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</si>
  <si>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</si>
  <si>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</si>
  <si>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</si>
  <si>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</si>
  <si>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</si>
  <si>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</si>
  <si>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</si>
  <si>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</si>
  <si>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</si>
  <si>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</si>
  <si>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</si>
  <si>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</si>
  <si>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</si>
  <si>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</si>
  <si>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</si>
  <si>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</si>
  <si>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</si>
  <si>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</si>
  <si>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</si>
  <si>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</si>
  <si>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</si>
  <si>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</si>
  <si>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</si>
  <si>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</si>
  <si>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</si>
  <si>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</si>
  <si>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</si>
  <si>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</si>
  <si>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</si>
  <si>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</si>
  <si>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</si>
  <si>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</si>
  <si>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</si>
  <si>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</si>
  <si>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</si>
  <si>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</si>
  <si>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</si>
  <si>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</si>
  <si>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</si>
  <si>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</si>
  <si>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</si>
  <si>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</si>
  <si>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</si>
  <si>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</si>
  <si>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</si>
  <si>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</si>
  <si>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</si>
  <si>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</si>
  <si>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</si>
  <si>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</si>
  <si>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</si>
  <si>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</si>
  <si>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</si>
  <si>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</si>
  <si>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</si>
  <si>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</si>
  <si>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</si>
  <si>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</si>
  <si>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</si>
  <si>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</si>
  <si>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</si>
  <si>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</si>
  <si>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</si>
  <si>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</si>
  <si>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</si>
  <si>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</si>
  <si>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</si>
  <si>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</si>
  <si>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</si>
  <si>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</si>
  <si>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</si>
  <si>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</si>
  <si>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</si>
  <si>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</si>
  <si>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</si>
  <si>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</si>
  <si>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</si>
  <si>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</si>
  <si>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</si>
  <si>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</si>
  <si>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</si>
  <si>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</si>
  <si>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</si>
  <si>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</si>
  <si>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</si>
  <si>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</si>
  <si>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</si>
  <si>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</si>
  <si>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</si>
  <si>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</si>
  <si>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</si>
  <si>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</si>
  <si>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</si>
  <si>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</si>
  <si>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</si>
  <si>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</si>
  <si>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</si>
  <si>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</si>
  <si>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</si>
  <si>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</si>
  <si>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</si>
  <si>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</si>
  <si>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</si>
  <si>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</si>
  <si>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</si>
  <si>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</si>
  <si>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</si>
  <si>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</si>
  <si>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</si>
  <si>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</si>
  <si>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</si>
  <si>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</si>
  <si>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</si>
  <si>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</si>
  <si>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</si>
  <si>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</si>
  <si>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</si>
  <si>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</si>
  <si>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</si>
  <si>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</si>
  <si>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</si>
  <si>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</si>
  <si>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</si>
  <si>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</si>
  <si>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</si>
  <si>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</si>
  <si>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</si>
  <si>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</si>
  <si>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</si>
  <si>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</si>
  <si>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</si>
  <si>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</si>
  <si>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</si>
  <si>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</si>
  <si>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</si>
  <si>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</si>
  <si>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</si>
  <si>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</si>
  <si>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</si>
  <si>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</si>
  <si>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</si>
  <si>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</si>
  <si>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</si>
  <si>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</si>
  <si>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</si>
  <si>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</si>
  <si>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</si>
  <si>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</si>
  <si>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</si>
  <si>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</si>
  <si>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</si>
  <si>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</si>
  <si>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</si>
  <si>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</si>
  <si>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</si>
  <si>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</si>
  <si>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</si>
  <si>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</si>
  <si>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</si>
  <si>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</si>
  <si>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</si>
  <si>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</si>
  <si>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</si>
  <si>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</si>
  <si>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</si>
  <si>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</si>
  <si>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</si>
  <si>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</si>
  <si>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</si>
  <si>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</si>
  <si>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</si>
  <si>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</si>
  <si>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</si>
  <si>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</si>
  <si>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</si>
  <si>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</si>
  <si>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</si>
  <si>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</si>
  <si>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</si>
  <si>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</si>
  <si>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</si>
  <si>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</si>
  <si>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</si>
  <si>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</si>
  <si>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</si>
  <si>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</si>
  <si>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</si>
  <si>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</si>
  <si>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</si>
  <si>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</si>
  <si>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</si>
  <si>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</si>
  <si>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</si>
  <si>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</si>
  <si>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</si>
  <si>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</si>
  <si>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</si>
  <si>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</si>
  <si>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</si>
  <si>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</si>
  <si>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</si>
  <si>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</si>
  <si>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</si>
  <si>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</si>
  <si>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</si>
  <si>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</si>
  <si>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</si>
  <si>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</si>
  <si>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</si>
  <si>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</si>
  <si>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</si>
  <si>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</si>
  <si>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</si>
  <si>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</si>
  <si>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</si>
  <si>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</si>
  <si>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</si>
  <si>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</si>
  <si>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</si>
  <si>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</si>
  <si>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</si>
  <si>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</si>
  <si>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</si>
  <si>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</si>
  <si>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</si>
  <si>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</si>
  <si>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</si>
  <si>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</si>
  <si>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</si>
  <si>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</si>
  <si>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</si>
  <si>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</si>
  <si>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</si>
  <si>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</si>
  <si>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</si>
  <si>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</si>
  <si>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</si>
  <si>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</si>
  <si>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</si>
  <si>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</si>
  <si>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</si>
  <si>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</si>
  <si>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</si>
  <si>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</si>
  <si>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</si>
  <si>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</si>
  <si>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</si>
  <si>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</si>
  <si>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</si>
  <si>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</si>
  <si>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</si>
  <si>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</si>
  <si>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</si>
  <si>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</si>
  <si>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</si>
  <si>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</si>
  <si>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</si>
  <si>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</si>
  <si>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</si>
  <si>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</si>
  <si>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</si>
  <si>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</si>
  <si>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</si>
  <si>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</si>
  <si>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</si>
  <si>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</si>
  <si>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</si>
  <si>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</si>
  <si>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</si>
  <si>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</si>
  <si>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</si>
  <si>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</si>
  <si>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</si>
  <si>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</si>
  <si>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</si>
  <si>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</si>
  <si>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</si>
  <si>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</si>
  <si>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</si>
  <si>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</si>
  <si>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</si>
  <si>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</si>
  <si>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</si>
  <si>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</si>
  <si>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</si>
  <si>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</si>
  <si>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</si>
  <si>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</si>
  <si>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</si>
  <si>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000-0000-0001</t>
    <phoneticPr fontId="9"/>
  </si>
  <si>
    <t>FAX</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</si>
</sst>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51523" y="25004346"/>
              <a:ext cx="14810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51523" y="13950462"/>
              <a:ext cx="148102" cy="2149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51523" y="6374423"/>
              <a:ext cx="148102" cy="52802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51523" y="23877287"/>
              <a:ext cx="148102" cy="11270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51523" y="13872308"/>
              <a:ext cx="148102"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51523" y="25004346"/>
              <a:ext cx="148102" cy="806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272154"/>
              <a:ext cx="192064" cy="38878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272154"/>
              <a:ext cx="192064" cy="388783"/>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184150</xdr:colOff>
          <xdr:row>101</xdr:row>
          <xdr:rowOff>304800</xdr:rowOff>
        </xdr:from>
        <xdr:to>
          <xdr:col>6</xdr:col>
          <xdr:colOff>12700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184150</xdr:colOff>
          <xdr:row>103</xdr:row>
          <xdr:rowOff>0</xdr:rowOff>
        </xdr:from>
        <xdr:to>
          <xdr:col>6</xdr:col>
          <xdr:colOff>25400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127000</xdr:colOff>
          <xdr:row>108</xdr:row>
          <xdr:rowOff>12700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109</xdr:row>
          <xdr:rowOff>25400</xdr:rowOff>
        </xdr:from>
        <xdr:to>
          <xdr:col>2</xdr:col>
          <xdr:colOff>6350</xdr:colOff>
          <xdr:row>110</xdr:row>
          <xdr:rowOff>25400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110</xdr:row>
          <xdr:rowOff>25400</xdr:rowOff>
        </xdr:from>
        <xdr:to>
          <xdr:col>2</xdr:col>
          <xdr:colOff>6350</xdr:colOff>
          <xdr:row>110</xdr:row>
          <xdr:rowOff>464038</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111</xdr:row>
          <xdr:rowOff>25400</xdr:rowOff>
        </xdr:from>
        <xdr:to>
          <xdr:col>2</xdr:col>
          <xdr:colOff>6350</xdr:colOff>
          <xdr:row>112</xdr:row>
          <xdr:rowOff>25400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112</xdr:row>
          <xdr:rowOff>25400</xdr:rowOff>
        </xdr:from>
        <xdr:to>
          <xdr:col>2</xdr:col>
          <xdr:colOff>0</xdr:colOff>
          <xdr:row>113</xdr:row>
          <xdr:rowOff>1</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114</xdr:row>
          <xdr:rowOff>25400</xdr:rowOff>
        </xdr:from>
        <xdr:to>
          <xdr:col>2</xdr:col>
          <xdr:colOff>0</xdr:colOff>
          <xdr:row>115</xdr:row>
          <xdr:rowOff>25400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31750</xdr:rowOff>
        </xdr:from>
        <xdr:to>
          <xdr:col>3</xdr:col>
          <xdr:colOff>63500</xdr:colOff>
          <xdr:row>52</xdr:row>
          <xdr:rowOff>215900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12700</xdr:rowOff>
        </xdr:from>
        <xdr:to>
          <xdr:col>3</xdr:col>
          <xdr:colOff>12700</xdr:colOff>
          <xdr:row>53</xdr:row>
          <xdr:rowOff>234950</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203200</xdr:rowOff>
        </xdr:from>
        <xdr:to>
          <xdr:col>3</xdr:col>
          <xdr:colOff>12700</xdr:colOff>
          <xdr:row>55</xdr:row>
          <xdr:rowOff>50800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203200</xdr:rowOff>
        </xdr:from>
        <xdr:to>
          <xdr:col>3</xdr:col>
          <xdr:colOff>38100</xdr:colOff>
          <xdr:row>56</xdr:row>
          <xdr:rowOff>12700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517681" y="2983548"/>
          <a:ext cx="1277598" cy="320707"/>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869900" y="2959194"/>
          <a:ext cx="3404916" cy="345061"/>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800345" y="2959958"/>
          <a:ext cx="1584695" cy="347432"/>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139700</xdr:colOff>
          <xdr:row>113</xdr:row>
          <xdr:rowOff>25400</xdr:rowOff>
        </xdr:from>
        <xdr:to>
          <xdr:col>2</xdr:col>
          <xdr:colOff>6350</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51523" y="20245217"/>
              <a:ext cx="14810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51523" y="23607346"/>
              <a:ext cx="148102" cy="2686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51523" y="20241407"/>
              <a:ext cx="151912" cy="35735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51523" y="23607346"/>
              <a:ext cx="151912" cy="268654"/>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5"/>
  <sheetViews>
    <sheetView showGridLines="0" tabSelected="1" view="pageBreakPreview" zoomScale="80" zoomScaleNormal="80" zoomScaleSheetLayoutView="80" workbookViewId="0">
      <selection sqref="A1:AE1"/>
    </sheetView>
  </sheetViews>
  <sheetFormatPr defaultColWidth="9" defaultRowHeight="20.149999999999999" customHeight="1"/>
  <cols>
    <col min="1" max="1" width="6.453125" customWidth="1"/>
    <col min="2" max="11" width="0.90625" customWidth="1"/>
    <col min="12" max="19" width="1.453125" customWidth="1"/>
    <col min="20" max="20" width="2.08984375" customWidth="1"/>
    <col min="21" max="21" width="0.54296875" customWidth="1"/>
    <col min="22" max="22" width="7.453125" customWidth="1"/>
    <col min="23" max="23" width="14.54296875" customWidth="1"/>
    <col min="24" max="24" width="10.453125" customWidth="1"/>
    <col min="25" max="25" width="4.90625" customWidth="1"/>
    <col min="26" max="26" width="3.453125" customWidth="1"/>
    <col min="27" max="27" width="10.6328125" customWidth="1"/>
    <col min="28" max="29" width="10.90625" customWidth="1"/>
    <col min="30" max="30" width="8.6328125" customWidth="1"/>
    <col min="31" max="31" width="6.90625" customWidth="1"/>
    <col min="32" max="32" width="6.453125" style="61" customWidth="1"/>
    <col min="33" max="33" width="18.90625" customWidth="1"/>
    <col min="34" max="34" width="16.90625" customWidth="1"/>
    <col min="35" max="35" width="8.90625" customWidth="1"/>
    <col min="36" max="36" width="17.6328125" customWidth="1"/>
    <col min="37" max="37" width="14" customWidth="1"/>
    <col min="38" max="38" width="9" customWidth="1"/>
    <col min="39" max="39" width="9" hidden="1" customWidth="1"/>
    <col min="40" max="41" width="9" customWidth="1"/>
  </cols>
  <sheetData>
    <row r="1" spans="1:39" s="232" customFormat="1" ht="44"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8"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49999999999999"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49999999999999"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20"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7"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5"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49999999999999"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49999999999999"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t="s">
        <v>7</v>
      </c>
      <c r="W14" s="734"/>
      <c r="X14" s="734"/>
      <c r="Y14" s="734"/>
      <c r="Z14" s="735"/>
      <c r="AF14"/>
      <c r="AG14" s="241"/>
      <c r="AH14" s="242"/>
    </row>
    <row r="15" spans="1:39" ht="38.4" customHeight="1">
      <c r="A15" s="736" t="s">
        <v>8</v>
      </c>
      <c r="B15" s="737"/>
      <c r="C15" s="737"/>
      <c r="D15" s="737"/>
      <c r="E15" s="737"/>
      <c r="F15" s="737"/>
      <c r="G15" s="737"/>
      <c r="H15" s="737"/>
      <c r="I15" s="737"/>
      <c r="J15" s="737"/>
      <c r="K15" s="737"/>
      <c r="L15" s="737"/>
      <c r="M15" s="737"/>
      <c r="N15" s="737"/>
      <c r="O15" s="737"/>
      <c r="P15" s="737"/>
      <c r="Q15" s="737"/>
      <c r="R15" s="737"/>
      <c r="S15" s="737"/>
      <c r="T15" s="737"/>
      <c r="U15" s="738"/>
      <c r="V15" s="731" t="s">
        <v>9</v>
      </c>
      <c r="W15" s="732"/>
      <c r="X15" s="732"/>
      <c r="Y15" s="732"/>
      <c r="Z15" s="732"/>
      <c r="AA15" s="732" t="s">
        <v>10</v>
      </c>
      <c r="AB15" s="732"/>
      <c r="AC15" s="732"/>
      <c r="AD15" s="732"/>
      <c r="AE15" s="732"/>
      <c r="AF15" s="243"/>
      <c r="AG15" s="241"/>
      <c r="AH15" s="242"/>
    </row>
    <row r="16" spans="1:39" ht="23" customHeight="1">
      <c r="A16" s="739"/>
      <c r="B16" s="740"/>
      <c r="C16" s="740"/>
      <c r="D16" s="740"/>
      <c r="E16" s="740"/>
      <c r="F16" s="740"/>
      <c r="G16" s="740"/>
      <c r="H16" s="740"/>
      <c r="I16" s="740"/>
      <c r="J16" s="740"/>
      <c r="K16" s="740"/>
      <c r="L16" s="740"/>
      <c r="M16" s="740"/>
      <c r="N16" s="740"/>
      <c r="O16" s="740"/>
      <c r="P16" s="740"/>
      <c r="Q16" s="740"/>
      <c r="R16" s="740"/>
      <c r="S16" s="740"/>
      <c r="T16" s="740"/>
      <c r="U16" s="741"/>
      <c r="V16" s="698" t="s">
        <v>11</v>
      </c>
      <c r="W16" s="698"/>
      <c r="X16" s="698"/>
      <c r="Y16" s="698"/>
      <c r="Z16" s="698"/>
      <c r="AA16" s="698" t="s">
        <v>11</v>
      </c>
      <c r="AB16" s="698"/>
      <c r="AC16" s="698"/>
      <c r="AD16" s="698"/>
      <c r="AE16" s="698"/>
      <c r="AF16" s="244"/>
      <c r="AG16" s="64"/>
    </row>
    <row r="17" spans="1:39" ht="12" customHeight="1">
      <c r="A17" s="742" t="s">
        <v>12</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5"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49999999999999"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5" customHeight="1">
      <c r="A20" s="715" t="s">
        <v>14</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49999999999999" customHeight="1">
      <c r="A21" s="719" t="s">
        <v>15</v>
      </c>
      <c r="B21" s="707" t="s">
        <v>16</v>
      </c>
      <c r="C21" s="707"/>
      <c r="D21" s="707"/>
      <c r="E21" s="707"/>
      <c r="F21" s="707"/>
      <c r="G21" s="707"/>
      <c r="H21" s="707"/>
      <c r="I21" s="707"/>
      <c r="J21" s="707"/>
      <c r="K21" s="707"/>
      <c r="L21" s="723" t="s">
        <v>17</v>
      </c>
      <c r="M21" s="724"/>
      <c r="N21" s="724"/>
      <c r="O21" s="724"/>
      <c r="P21" s="724"/>
      <c r="Q21" s="724"/>
      <c r="R21" s="724"/>
      <c r="S21" s="724"/>
      <c r="T21" s="724"/>
      <c r="U21" s="724"/>
      <c r="V21" s="724"/>
      <c r="W21" s="724"/>
      <c r="X21" s="724"/>
      <c r="Y21" s="724"/>
      <c r="Z21" s="724"/>
      <c r="AA21" s="724"/>
      <c r="AB21" s="724"/>
      <c r="AC21" s="724"/>
      <c r="AD21" s="725"/>
      <c r="AF21"/>
    </row>
    <row r="22" spans="1:39" ht="20.149999999999999" customHeight="1">
      <c r="A22" s="720"/>
      <c r="B22" s="707" t="s">
        <v>18</v>
      </c>
      <c r="C22" s="707"/>
      <c r="D22" s="707"/>
      <c r="E22" s="707"/>
      <c r="F22" s="707"/>
      <c r="G22" s="707"/>
      <c r="H22" s="707"/>
      <c r="I22" s="707"/>
      <c r="J22" s="707"/>
      <c r="K22" s="707"/>
      <c r="L22" s="723" t="s">
        <v>17</v>
      </c>
      <c r="M22" s="724"/>
      <c r="N22" s="724"/>
      <c r="O22" s="724"/>
      <c r="P22" s="724"/>
      <c r="Q22" s="724"/>
      <c r="R22" s="724"/>
      <c r="S22" s="724"/>
      <c r="T22" s="724"/>
      <c r="U22" s="724"/>
      <c r="V22" s="724"/>
      <c r="W22" s="724"/>
      <c r="X22" s="724"/>
      <c r="Y22" s="724"/>
      <c r="Z22" s="724"/>
      <c r="AA22" s="724"/>
      <c r="AB22" s="724"/>
      <c r="AC22" s="724"/>
      <c r="AD22" s="725"/>
      <c r="AF22"/>
    </row>
    <row r="23" spans="1:39" ht="20.149999999999999" customHeight="1">
      <c r="A23" s="701" t="s">
        <v>19</v>
      </c>
      <c r="B23" s="707" t="s">
        <v>20</v>
      </c>
      <c r="C23" s="707"/>
      <c r="D23" s="707"/>
      <c r="E23" s="707"/>
      <c r="F23" s="707"/>
      <c r="G23" s="707"/>
      <c r="H23" s="707"/>
      <c r="I23" s="707"/>
      <c r="J23" s="707"/>
      <c r="K23" s="707"/>
      <c r="L23" s="745">
        <v>100</v>
      </c>
      <c r="M23" s="746"/>
      <c r="N23" s="746"/>
      <c r="O23" s="747"/>
      <c r="P23" s="695" t="s">
        <v>21</v>
      </c>
      <c r="Q23" s="748" t="s">
        <v>22</v>
      </c>
      <c r="R23" s="749"/>
      <c r="S23" s="749"/>
      <c r="T23" s="749"/>
      <c r="U23" s="750"/>
      <c r="V23" s="228"/>
      <c r="W23" s="228"/>
      <c r="X23" s="228"/>
      <c r="Y23" s="228"/>
      <c r="Z23" s="228"/>
      <c r="AA23" s="67"/>
      <c r="AB23" s="67"/>
      <c r="AC23" s="67"/>
      <c r="AD23" s="67"/>
      <c r="AF23"/>
      <c r="AM23" s="246" t="s">
        <v>23</v>
      </c>
    </row>
    <row r="24" spans="1:39" ht="44.25" customHeight="1">
      <c r="A24" s="721"/>
      <c r="B24" s="722" t="s">
        <v>24</v>
      </c>
      <c r="C24" s="722"/>
      <c r="D24" s="722"/>
      <c r="E24" s="722"/>
      <c r="F24" s="722"/>
      <c r="G24" s="722"/>
      <c r="H24" s="722"/>
      <c r="I24" s="722"/>
      <c r="J24" s="722"/>
      <c r="K24" s="722"/>
      <c r="L24" s="723" t="s">
        <v>25</v>
      </c>
      <c r="M24" s="724"/>
      <c r="N24" s="724"/>
      <c r="O24" s="724"/>
      <c r="P24" s="724"/>
      <c r="Q24" s="724"/>
      <c r="R24" s="724"/>
      <c r="S24" s="724"/>
      <c r="T24" s="724"/>
      <c r="U24" s="724"/>
      <c r="V24" s="724"/>
      <c r="W24" s="724"/>
      <c r="X24" s="724"/>
      <c r="Y24" s="724"/>
      <c r="Z24" s="724"/>
      <c r="AA24" s="724"/>
      <c r="AB24" s="724"/>
      <c r="AC24" s="724"/>
      <c r="AD24" s="725"/>
      <c r="AF24"/>
      <c r="AM24" s="246" t="str">
        <f>L23&amp;"-"&amp;Q23</f>
        <v>100-0005</v>
      </c>
    </row>
    <row r="25" spans="1:39" ht="38.25" customHeight="1">
      <c r="A25" s="702"/>
      <c r="B25" s="722" t="s">
        <v>26</v>
      </c>
      <c r="C25" s="722"/>
      <c r="D25" s="722"/>
      <c r="E25" s="722"/>
      <c r="F25" s="722"/>
      <c r="G25" s="722"/>
      <c r="H25" s="722"/>
      <c r="I25" s="722"/>
      <c r="J25" s="722"/>
      <c r="K25" s="722"/>
      <c r="L25" s="726" t="s">
        <v>27</v>
      </c>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28</v>
      </c>
      <c r="B26" s="704" t="s">
        <v>29</v>
      </c>
      <c r="C26" s="707"/>
      <c r="D26" s="707"/>
      <c r="E26" s="707"/>
      <c r="F26" s="707"/>
      <c r="G26" s="707"/>
      <c r="H26" s="707"/>
      <c r="I26" s="707"/>
      <c r="J26" s="707"/>
      <c r="K26" s="707"/>
      <c r="L26" s="708" t="s">
        <v>30</v>
      </c>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31</v>
      </c>
      <c r="C27" s="703"/>
      <c r="D27" s="703"/>
      <c r="E27" s="703"/>
      <c r="F27" s="703"/>
      <c r="G27" s="703"/>
      <c r="H27" s="703"/>
      <c r="I27" s="703"/>
      <c r="J27" s="703"/>
      <c r="K27" s="704"/>
      <c r="L27" s="708" t="s">
        <v>32</v>
      </c>
      <c r="M27" s="709"/>
      <c r="N27" s="709"/>
      <c r="O27" s="709"/>
      <c r="P27" s="709"/>
      <c r="Q27" s="709"/>
      <c r="R27" s="709"/>
      <c r="S27" s="709"/>
      <c r="T27" s="709"/>
      <c r="U27" s="709"/>
      <c r="V27" s="709"/>
      <c r="W27" s="709"/>
      <c r="X27" s="709"/>
      <c r="Y27" s="709"/>
      <c r="Z27" s="709"/>
      <c r="AA27" s="709"/>
      <c r="AB27" s="709"/>
      <c r="AC27" s="709"/>
      <c r="AD27" s="710"/>
      <c r="AF27"/>
    </row>
    <row r="28" spans="1:39" ht="20.149999999999999" customHeight="1">
      <c r="A28" s="716" t="s">
        <v>33</v>
      </c>
      <c r="B28" s="717"/>
      <c r="C28" s="717"/>
      <c r="D28" s="717"/>
      <c r="E28" s="717"/>
      <c r="F28" s="717"/>
      <c r="G28" s="717"/>
      <c r="H28" s="717"/>
      <c r="I28" s="717"/>
      <c r="J28" s="717"/>
      <c r="K28" s="718"/>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49999999999999" customHeight="1">
      <c r="A29" s="699" t="s">
        <v>35</v>
      </c>
      <c r="B29" s="707" t="s">
        <v>16</v>
      </c>
      <c r="C29" s="707"/>
      <c r="D29" s="707"/>
      <c r="E29" s="707"/>
      <c r="F29" s="707"/>
      <c r="G29" s="707"/>
      <c r="H29" s="707"/>
      <c r="I29" s="707"/>
      <c r="J29" s="707"/>
      <c r="K29" s="707"/>
      <c r="L29" s="708" t="s">
        <v>36</v>
      </c>
      <c r="M29" s="709"/>
      <c r="N29" s="709"/>
      <c r="O29" s="709"/>
      <c r="P29" s="709"/>
      <c r="Q29" s="709"/>
      <c r="R29" s="709"/>
      <c r="S29" s="709"/>
      <c r="T29" s="709"/>
      <c r="U29" s="709"/>
      <c r="V29" s="709"/>
      <c r="W29" s="709"/>
      <c r="X29" s="710"/>
      <c r="Y29" s="229"/>
      <c r="Z29" s="229"/>
      <c r="AA29" s="230"/>
      <c r="AB29" s="230"/>
      <c r="AC29" s="230"/>
      <c r="AD29" s="230"/>
      <c r="AF29"/>
    </row>
    <row r="30" spans="1:39" ht="20.149999999999999" customHeight="1">
      <c r="A30" s="700"/>
      <c r="B30" s="714" t="s">
        <v>31</v>
      </c>
      <c r="C30" s="714"/>
      <c r="D30" s="714"/>
      <c r="E30" s="714"/>
      <c r="F30" s="714"/>
      <c r="G30" s="714"/>
      <c r="H30" s="714"/>
      <c r="I30" s="714"/>
      <c r="J30" s="714"/>
      <c r="K30" s="714"/>
      <c r="L30" s="708" t="s">
        <v>37</v>
      </c>
      <c r="M30" s="709"/>
      <c r="N30" s="709"/>
      <c r="O30" s="709"/>
      <c r="P30" s="709"/>
      <c r="Q30" s="709"/>
      <c r="R30" s="709"/>
      <c r="S30" s="709"/>
      <c r="T30" s="709"/>
      <c r="U30" s="709"/>
      <c r="V30" s="709"/>
      <c r="W30" s="709"/>
      <c r="X30" s="710"/>
      <c r="Y30" s="229"/>
      <c r="Z30" s="229"/>
      <c r="AA30" s="230"/>
      <c r="AB30" s="230"/>
      <c r="AC30" s="230"/>
      <c r="AD30" s="230"/>
      <c r="AF30"/>
    </row>
    <row r="31" spans="1:39" ht="20.149999999999999" customHeight="1">
      <c r="A31" s="701" t="s">
        <v>38</v>
      </c>
      <c r="B31" s="707" t="s">
        <v>39</v>
      </c>
      <c r="C31" s="707"/>
      <c r="D31" s="707"/>
      <c r="E31" s="707"/>
      <c r="F31" s="707"/>
      <c r="G31" s="707"/>
      <c r="H31" s="707"/>
      <c r="I31" s="707"/>
      <c r="J31" s="707"/>
      <c r="K31" s="707"/>
      <c r="L31" s="708" t="s">
        <v>40</v>
      </c>
      <c r="M31" s="709"/>
      <c r="N31" s="709"/>
      <c r="O31" s="709"/>
      <c r="P31" s="709"/>
      <c r="Q31" s="709"/>
      <c r="R31" s="709"/>
      <c r="S31" s="709"/>
      <c r="T31" s="709"/>
      <c r="U31" s="709"/>
      <c r="V31" s="709"/>
      <c r="W31" s="709"/>
      <c r="X31" s="710"/>
      <c r="Y31" s="229"/>
      <c r="Z31" s="229"/>
      <c r="AA31" s="230"/>
      <c r="AB31" s="230"/>
      <c r="AC31" s="230"/>
      <c r="AD31" s="230"/>
      <c r="AF31"/>
    </row>
    <row r="32" spans="1:39" ht="20.149999999999999" customHeight="1">
      <c r="A32" s="721"/>
      <c r="B32" s="707" t="s">
        <v>2649</v>
      </c>
      <c r="C32" s="707"/>
      <c r="D32" s="707"/>
      <c r="E32" s="707"/>
      <c r="F32" s="707"/>
      <c r="G32" s="707"/>
      <c r="H32" s="707"/>
      <c r="I32" s="707"/>
      <c r="J32" s="707"/>
      <c r="K32" s="707"/>
      <c r="L32" s="708" t="s">
        <v>2648</v>
      </c>
      <c r="M32" s="709"/>
      <c r="N32" s="709"/>
      <c r="O32" s="709"/>
      <c r="P32" s="709"/>
      <c r="Q32" s="709"/>
      <c r="R32" s="709"/>
      <c r="S32" s="709"/>
      <c r="T32" s="709"/>
      <c r="U32" s="709"/>
      <c r="V32" s="709"/>
      <c r="W32" s="709"/>
      <c r="X32" s="710"/>
      <c r="Y32" s="229"/>
      <c r="Z32" s="229"/>
      <c r="AA32" s="230"/>
      <c r="AB32" s="230"/>
      <c r="AC32" s="230"/>
      <c r="AD32" s="230"/>
      <c r="AF32"/>
    </row>
    <row r="33" spans="1:46" ht="20.149999999999999" customHeight="1">
      <c r="A33" s="702"/>
      <c r="B33" s="707" t="s">
        <v>41</v>
      </c>
      <c r="C33" s="707"/>
      <c r="D33" s="707"/>
      <c r="E33" s="707"/>
      <c r="F33" s="707"/>
      <c r="G33" s="707"/>
      <c r="H33" s="707"/>
      <c r="I33" s="707"/>
      <c r="J33" s="707"/>
      <c r="K33" s="707"/>
      <c r="L33" s="711" t="s">
        <v>42</v>
      </c>
      <c r="M33" s="712"/>
      <c r="N33" s="712"/>
      <c r="O33" s="712"/>
      <c r="P33" s="712"/>
      <c r="Q33" s="712"/>
      <c r="R33" s="712"/>
      <c r="S33" s="712"/>
      <c r="T33" s="712"/>
      <c r="U33" s="712"/>
      <c r="V33" s="712"/>
      <c r="W33" s="712"/>
      <c r="X33" s="713"/>
      <c r="Y33" s="229"/>
      <c r="Z33" s="229"/>
      <c r="AA33" s="230"/>
      <c r="AB33" s="230"/>
      <c r="AC33" s="230"/>
      <c r="AD33" s="230"/>
      <c r="AF33"/>
    </row>
    <row r="34" spans="1:46" s="232" customFormat="1" ht="20.149999999999999" customHeight="1">
      <c r="A34" s="231" t="s">
        <v>43</v>
      </c>
      <c r="B34" s="228"/>
      <c r="C34" s="228"/>
      <c r="D34" s="228"/>
      <c r="E34" s="228"/>
      <c r="F34" s="228"/>
      <c r="G34" s="228"/>
      <c r="H34" s="228"/>
      <c r="I34" s="228"/>
      <c r="J34" s="228"/>
      <c r="K34" s="228"/>
      <c r="L34" s="228"/>
      <c r="M34" s="228"/>
      <c r="N34" s="228"/>
      <c r="O34" s="228"/>
      <c r="P34" s="228"/>
      <c r="Q34" s="228"/>
      <c r="R34" s="228"/>
      <c r="S34" s="228"/>
      <c r="T34" s="228"/>
      <c r="U34" s="228"/>
      <c r="V34" s="228"/>
      <c r="W34" s="228"/>
      <c r="X34" s="228"/>
      <c r="Y34" s="228"/>
      <c r="Z34" s="228"/>
      <c r="AA34" s="67"/>
      <c r="AB34" s="67"/>
      <c r="AC34" s="67"/>
      <c r="AD34" s="67"/>
    </row>
    <row r="35" spans="1:46" s="232" customFormat="1" ht="20.149999999999999" customHeight="1">
      <c r="A35" s="247" t="s">
        <v>44</v>
      </c>
      <c r="B35" s="228"/>
      <c r="C35" s="228"/>
      <c r="D35" s="228"/>
      <c r="E35" s="228"/>
      <c r="F35" s="228"/>
      <c r="G35" s="228"/>
      <c r="H35" s="228"/>
      <c r="I35" s="228"/>
      <c r="J35" s="228"/>
      <c r="K35" s="228"/>
      <c r="L35" s="228"/>
      <c r="M35" s="228"/>
      <c r="N35" s="228"/>
      <c r="O35" s="228"/>
      <c r="P35" s="228"/>
      <c r="Q35" s="228"/>
      <c r="R35" s="228"/>
      <c r="S35" s="228"/>
      <c r="T35" s="228"/>
      <c r="U35" s="228"/>
      <c r="V35" s="228"/>
      <c r="W35" s="248"/>
      <c r="X35" s="228"/>
      <c r="Y35" s="228"/>
      <c r="Z35" s="228"/>
      <c r="AA35" s="67"/>
      <c r="AB35" s="67"/>
      <c r="AC35" s="67"/>
      <c r="AD35" s="67"/>
    </row>
    <row r="36" spans="1:46" s="232" customFormat="1" ht="79.25" customHeight="1" thickBot="1">
      <c r="A36" s="802" t="s">
        <v>45</v>
      </c>
      <c r="B36" s="802"/>
      <c r="C36" s="802"/>
      <c r="D36" s="802"/>
      <c r="E36" s="802"/>
      <c r="F36" s="802"/>
      <c r="G36" s="802"/>
      <c r="H36" s="802"/>
      <c r="I36" s="802"/>
      <c r="J36" s="802"/>
      <c r="K36" s="802"/>
      <c r="L36" s="802"/>
      <c r="M36" s="802"/>
      <c r="N36" s="802"/>
      <c r="O36" s="802"/>
      <c r="P36" s="802"/>
      <c r="Q36" s="802"/>
      <c r="R36" s="802"/>
      <c r="S36" s="802"/>
      <c r="T36" s="802"/>
      <c r="U36" s="802"/>
      <c r="V36" s="802"/>
      <c r="W36" s="802"/>
      <c r="X36" s="802"/>
      <c r="Y36" s="802"/>
      <c r="Z36" s="802"/>
      <c r="AA36" s="802"/>
      <c r="AB36" s="802"/>
      <c r="AC36" s="802"/>
      <c r="AD36" s="802"/>
      <c r="AE36" s="802"/>
    </row>
    <row r="37" spans="1:46" s="232" customFormat="1" ht="26" customHeight="1" thickBot="1">
      <c r="A37" s="788" t="s">
        <v>46</v>
      </c>
      <c r="B37" s="788"/>
      <c r="C37" s="788"/>
      <c r="D37" s="788"/>
      <c r="E37" s="788"/>
      <c r="F37" s="788"/>
      <c r="G37" s="788"/>
      <c r="H37" s="788"/>
      <c r="I37" s="788"/>
      <c r="J37" s="788"/>
      <c r="K37" s="788"/>
      <c r="L37" s="788"/>
      <c r="M37" s="788"/>
      <c r="N37" s="788"/>
      <c r="O37" s="788"/>
      <c r="P37" s="788"/>
      <c r="Q37" s="788"/>
      <c r="R37" s="788"/>
      <c r="S37" s="788"/>
      <c r="T37" s="788"/>
      <c r="U37" s="788"/>
      <c r="V37" s="788"/>
      <c r="W37" s="788"/>
      <c r="X37" s="788"/>
      <c r="Y37" s="788"/>
      <c r="Z37" s="788"/>
      <c r="AA37" s="788"/>
      <c r="AB37" s="788"/>
      <c r="AC37" s="788"/>
      <c r="AD37" s="789"/>
      <c r="AE37" s="596" t="s">
        <v>47</v>
      </c>
      <c r="AF37" s="249"/>
      <c r="AG37" s="805" t="s">
        <v>48</v>
      </c>
      <c r="AH37" s="806"/>
      <c r="AI37" s="806"/>
      <c r="AJ37" s="806"/>
      <c r="AK37" s="807"/>
    </row>
    <row r="38" spans="1:46" s="232" customFormat="1" ht="10.25" customHeight="1">
      <c r="A38" s="196"/>
      <c r="B38" s="196"/>
      <c r="C38" s="196"/>
      <c r="D38" s="196"/>
      <c r="E38" s="196"/>
      <c r="F38" s="196"/>
      <c r="G38" s="196"/>
      <c r="H38" s="196"/>
      <c r="I38" s="196"/>
      <c r="J38" s="196"/>
      <c r="K38" s="196"/>
      <c r="L38" s="196"/>
      <c r="M38" s="196"/>
      <c r="N38" s="196"/>
      <c r="O38" s="196"/>
      <c r="P38" s="196"/>
      <c r="Q38" s="250"/>
      <c r="R38" s="250"/>
      <c r="S38" s="250"/>
      <c r="T38" s="250"/>
      <c r="U38" s="250"/>
      <c r="V38" s="250"/>
      <c r="W38" s="196"/>
      <c r="X38" s="196"/>
      <c r="Y38" s="196"/>
      <c r="Z38" s="196"/>
      <c r="AA38" s="196"/>
      <c r="AB38" s="196"/>
      <c r="AC38" s="196"/>
      <c r="AD38" s="196"/>
      <c r="AG38" s="808"/>
      <c r="AH38" s="809"/>
      <c r="AI38" s="809"/>
      <c r="AJ38" s="809"/>
      <c r="AK38" s="810"/>
    </row>
    <row r="39" spans="1:46" ht="45" customHeight="1">
      <c r="A39" s="701" t="s">
        <v>49</v>
      </c>
      <c r="B39" s="790" t="s">
        <v>50</v>
      </c>
      <c r="C39" s="791"/>
      <c r="D39" s="791"/>
      <c r="E39" s="791"/>
      <c r="F39" s="791"/>
      <c r="G39" s="791"/>
      <c r="H39" s="791"/>
      <c r="I39" s="791"/>
      <c r="J39" s="791"/>
      <c r="K39" s="792"/>
      <c r="L39" s="790" t="s">
        <v>51</v>
      </c>
      <c r="M39" s="791"/>
      <c r="N39" s="791"/>
      <c r="O39" s="791"/>
      <c r="P39" s="792"/>
      <c r="Q39" s="765" t="s">
        <v>52</v>
      </c>
      <c r="R39" s="766"/>
      <c r="S39" s="766"/>
      <c r="T39" s="766"/>
      <c r="U39" s="766"/>
      <c r="V39" s="767"/>
      <c r="W39" s="763" t="s">
        <v>53</v>
      </c>
      <c r="X39" s="790" t="s">
        <v>54</v>
      </c>
      <c r="Y39" s="792"/>
      <c r="Z39" s="757" t="s">
        <v>55</v>
      </c>
      <c r="AA39" s="768" t="s">
        <v>56</v>
      </c>
      <c r="AB39" s="768" t="s">
        <v>57</v>
      </c>
      <c r="AC39" s="768" t="s">
        <v>58</v>
      </c>
      <c r="AD39" s="763" t="s">
        <v>59</v>
      </c>
      <c r="AE39" s="763" t="s">
        <v>60</v>
      </c>
      <c r="AF39" s="251"/>
      <c r="AG39" s="808"/>
      <c r="AH39" s="809"/>
      <c r="AI39" s="809"/>
      <c r="AJ39" s="809"/>
      <c r="AK39" s="810"/>
    </row>
    <row r="40" spans="1:46" ht="34.25" customHeight="1" thickBot="1">
      <c r="A40" s="702"/>
      <c r="B40" s="793"/>
      <c r="C40" s="794"/>
      <c r="D40" s="794"/>
      <c r="E40" s="794"/>
      <c r="F40" s="794"/>
      <c r="G40" s="794"/>
      <c r="H40" s="794"/>
      <c r="I40" s="794"/>
      <c r="J40" s="794"/>
      <c r="K40" s="795"/>
      <c r="L40" s="793"/>
      <c r="M40" s="794"/>
      <c r="N40" s="794"/>
      <c r="O40" s="794"/>
      <c r="P40" s="795"/>
      <c r="Q40" s="796" t="s">
        <v>61</v>
      </c>
      <c r="R40" s="797"/>
      <c r="S40" s="797"/>
      <c r="T40" s="797"/>
      <c r="U40" s="797"/>
      <c r="V40" s="584" t="s">
        <v>62</v>
      </c>
      <c r="W40" s="764"/>
      <c r="X40" s="793"/>
      <c r="Y40" s="795"/>
      <c r="Z40" s="758"/>
      <c r="AA40" s="769"/>
      <c r="AB40" s="769"/>
      <c r="AC40" s="769"/>
      <c r="AD40" s="764"/>
      <c r="AE40" s="764"/>
      <c r="AF40" s="251"/>
      <c r="AG40" s="811"/>
      <c r="AH40" s="812"/>
      <c r="AI40" s="812"/>
      <c r="AJ40" s="812"/>
      <c r="AK40" s="813"/>
    </row>
    <row r="41" spans="1:46" ht="50" customHeight="1" thickBot="1">
      <c r="A41" s="252">
        <v>1</v>
      </c>
      <c r="B41" s="770" t="s">
        <v>63</v>
      </c>
      <c r="C41" s="771"/>
      <c r="D41" s="771"/>
      <c r="E41" s="771"/>
      <c r="F41" s="771"/>
      <c r="G41" s="771"/>
      <c r="H41" s="771"/>
      <c r="I41" s="771"/>
      <c r="J41" s="771"/>
      <c r="K41" s="771"/>
      <c r="L41" s="759" t="s">
        <v>64</v>
      </c>
      <c r="M41" s="759"/>
      <c r="N41" s="759"/>
      <c r="O41" s="759"/>
      <c r="P41" s="759"/>
      <c r="Q41" s="753" t="s">
        <v>65</v>
      </c>
      <c r="R41" s="753"/>
      <c r="S41" s="753"/>
      <c r="T41" s="753"/>
      <c r="U41" s="753"/>
      <c r="V41" s="586" t="s">
        <v>66</v>
      </c>
      <c r="W41" s="586" t="s">
        <v>67</v>
      </c>
      <c r="X41" s="798" t="s">
        <v>68</v>
      </c>
      <c r="Y41" s="799"/>
      <c r="Z41" s="585" t="str">
        <f>IFERROR(VLOOKUP(X41, 【参考】数式用!$A$2:$B$46, 2, FALSE), "")</f>
        <v>11</v>
      </c>
      <c r="AA41" s="600">
        <v>1000000</v>
      </c>
      <c r="AB41" s="601">
        <v>250000</v>
      </c>
      <c r="AC41" s="602">
        <f t="shared" ref="AC41:AC105" si="0">AA41-AB41</f>
        <v>750000</v>
      </c>
      <c r="AD41" s="617">
        <f>IF(B41="", "", IF(COUNTIF(X41,"*独自*"),"数式を削除して手入力",IFERROR(INDEX(【参考】数式用!$O$3:'【参考】数式用'!$Q$452,MATCH(Q41&amp;V41,【参考】数式用!$N$3:'【参考】数式用'!$N$452,0),MATCH(VLOOKUP(X41,【参考】数式用!$R$2:$S$46,2,FALSE),【参考】数式用!$O$2:$Q$2,0)),10)))</f>
        <v>11.4</v>
      </c>
      <c r="AE41" s="597" t="s">
        <v>47</v>
      </c>
      <c r="AF41" s="253"/>
      <c r="AG41" s="254" t="s">
        <v>69</v>
      </c>
      <c r="AH41" s="255" t="s">
        <v>70</v>
      </c>
      <c r="AI41" s="256" t="s">
        <v>71</v>
      </c>
      <c r="AJ41" s="257" t="s">
        <v>72</v>
      </c>
      <c r="AK41" s="258" t="s">
        <v>73</v>
      </c>
      <c r="AL41" s="259"/>
      <c r="AM41" s="259"/>
      <c r="AN41" s="259"/>
      <c r="AO41" s="259"/>
      <c r="AP41" s="259"/>
      <c r="AQ41" s="259"/>
      <c r="AR41" s="259"/>
      <c r="AS41" s="259"/>
      <c r="AT41" s="259"/>
    </row>
    <row r="42" spans="1:46" ht="50" customHeight="1">
      <c r="A42" s="252">
        <f>A41+1</f>
        <v>2</v>
      </c>
      <c r="B42" s="770" t="s">
        <v>74</v>
      </c>
      <c r="C42" s="771"/>
      <c r="D42" s="771"/>
      <c r="E42" s="771"/>
      <c r="F42" s="771"/>
      <c r="G42" s="771"/>
      <c r="H42" s="771"/>
      <c r="I42" s="771"/>
      <c r="J42" s="771"/>
      <c r="K42" s="771"/>
      <c r="L42" s="759" t="s">
        <v>64</v>
      </c>
      <c r="M42" s="759"/>
      <c r="N42" s="759"/>
      <c r="O42" s="759"/>
      <c r="P42" s="759"/>
      <c r="Q42" s="753" t="s">
        <v>65</v>
      </c>
      <c r="R42" s="753"/>
      <c r="S42" s="753"/>
      <c r="T42" s="753"/>
      <c r="U42" s="753"/>
      <c r="V42" s="586" t="s">
        <v>66</v>
      </c>
      <c r="W42" s="586" t="s">
        <v>75</v>
      </c>
      <c r="X42" s="798" t="s">
        <v>68</v>
      </c>
      <c r="Y42" s="799"/>
      <c r="Z42" s="575" t="str">
        <f>IFERROR(VLOOKUP(X42, 【参考】数式用!$A$2:$B$46, 2, FALSE), "")</f>
        <v>11</v>
      </c>
      <c r="AA42" s="603">
        <v>1000000</v>
      </c>
      <c r="AB42" s="604">
        <v>250000</v>
      </c>
      <c r="AC42" s="605">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83" t="s">
        <v>76</v>
      </c>
      <c r="AH42" s="260" t="s">
        <v>77</v>
      </c>
      <c r="AI42" s="261" t="s">
        <v>78</v>
      </c>
      <c r="AJ42" s="262">
        <f t="shared" ref="AJ42:AJ74" si="1">COUNTIF($Z$41:$Z$2040, AI42)</f>
        <v>1</v>
      </c>
      <c r="AK42" s="785" t="str">
        <f>IF(AJ42=AJ43, "一致", "不一致")</f>
        <v>一致</v>
      </c>
    </row>
    <row r="43" spans="1:46" ht="50" customHeight="1">
      <c r="A43" s="252">
        <f t="shared" ref="A43:A79" si="2">A42+1</f>
        <v>3</v>
      </c>
      <c r="B43" s="772" t="s">
        <v>79</v>
      </c>
      <c r="C43" s="773"/>
      <c r="D43" s="773"/>
      <c r="E43" s="773"/>
      <c r="F43" s="773"/>
      <c r="G43" s="773"/>
      <c r="H43" s="773"/>
      <c r="I43" s="773"/>
      <c r="J43" s="773"/>
      <c r="K43" s="774"/>
      <c r="L43" s="760" t="s">
        <v>64</v>
      </c>
      <c r="M43" s="761"/>
      <c r="N43" s="761"/>
      <c r="O43" s="761"/>
      <c r="P43" s="762"/>
      <c r="Q43" s="753" t="s">
        <v>64</v>
      </c>
      <c r="R43" s="753"/>
      <c r="S43" s="753"/>
      <c r="T43" s="753"/>
      <c r="U43" s="753"/>
      <c r="V43" s="586" t="s">
        <v>80</v>
      </c>
      <c r="W43" s="135" t="s">
        <v>81</v>
      </c>
      <c r="X43" s="798" t="s">
        <v>68</v>
      </c>
      <c r="Y43" s="799"/>
      <c r="Z43" s="576" t="str">
        <f>IFERROR(VLOOKUP(X43, 【参考】数式用!$A$2:$B$46, 2, FALSE), "")</f>
        <v>11</v>
      </c>
      <c r="AA43" s="603">
        <v>1000000</v>
      </c>
      <c r="AB43" s="604">
        <v>250000</v>
      </c>
      <c r="AC43" s="606">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84"/>
      <c r="AH43" s="263" t="s">
        <v>82</v>
      </c>
      <c r="AI43" s="264" t="s">
        <v>83</v>
      </c>
      <c r="AJ43" s="265">
        <f t="shared" si="1"/>
        <v>1</v>
      </c>
      <c r="AK43" s="786"/>
    </row>
    <row r="44" spans="1:46" ht="50" customHeight="1">
      <c r="A44" s="252">
        <f t="shared" si="2"/>
        <v>4</v>
      </c>
      <c r="B44" s="772" t="s">
        <v>84</v>
      </c>
      <c r="C44" s="773"/>
      <c r="D44" s="773"/>
      <c r="E44" s="773"/>
      <c r="F44" s="773"/>
      <c r="G44" s="773"/>
      <c r="H44" s="773"/>
      <c r="I44" s="773"/>
      <c r="J44" s="773"/>
      <c r="K44" s="774"/>
      <c r="L44" s="760" t="s">
        <v>64</v>
      </c>
      <c r="M44" s="761"/>
      <c r="N44" s="761"/>
      <c r="O44" s="761"/>
      <c r="P44" s="762"/>
      <c r="Q44" s="753" t="s">
        <v>64</v>
      </c>
      <c r="R44" s="753"/>
      <c r="S44" s="753"/>
      <c r="T44" s="753"/>
      <c r="U44" s="753"/>
      <c r="V44" s="586" t="s">
        <v>80</v>
      </c>
      <c r="W44" s="135" t="s">
        <v>85</v>
      </c>
      <c r="X44" s="798" t="s">
        <v>68</v>
      </c>
      <c r="Y44" s="799"/>
      <c r="Z44" s="575" t="str">
        <f>IFERROR(VLOOKUP(X44, 【参考】数式用!$A$2:$B$46, 2, FALSE), "")</f>
        <v>11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87" t="s">
        <v>86</v>
      </c>
      <c r="AH44" s="263" t="s">
        <v>87</v>
      </c>
      <c r="AI44" s="264" t="s">
        <v>88</v>
      </c>
      <c r="AJ44" s="265">
        <f t="shared" si="1"/>
        <v>1</v>
      </c>
      <c r="AK44" s="786" t="str">
        <f>IF(AJ44=AJ45, "一致", "不一致")</f>
        <v>一致</v>
      </c>
    </row>
    <row r="45" spans="1:46" ht="50" customHeight="1">
      <c r="A45" s="252">
        <f t="shared" si="2"/>
        <v>5</v>
      </c>
      <c r="B45" s="772" t="s">
        <v>63</v>
      </c>
      <c r="C45" s="773"/>
      <c r="D45" s="773"/>
      <c r="E45" s="773"/>
      <c r="F45" s="773"/>
      <c r="G45" s="773"/>
      <c r="H45" s="773"/>
      <c r="I45" s="773"/>
      <c r="J45" s="773"/>
      <c r="K45" s="774"/>
      <c r="L45" s="760" t="s">
        <v>80</v>
      </c>
      <c r="M45" s="761"/>
      <c r="N45" s="761"/>
      <c r="O45" s="761"/>
      <c r="P45" s="762"/>
      <c r="Q45" s="753" t="s">
        <v>64</v>
      </c>
      <c r="R45" s="753"/>
      <c r="S45" s="753"/>
      <c r="T45" s="753"/>
      <c r="U45" s="753"/>
      <c r="V45" s="586" t="s">
        <v>80</v>
      </c>
      <c r="W45" s="135" t="s">
        <v>89</v>
      </c>
      <c r="X45" s="798" t="s">
        <v>90</v>
      </c>
      <c r="Y45" s="799" t="s">
        <v>90</v>
      </c>
      <c r="Z45" s="575" t="str">
        <f>IFERROR(VLOOKUP(X45, 【参考】数式用!$A$2:$B$46, 2, FALSE), "")</f>
        <v>71</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87"/>
      <c r="AH45" s="263" t="s">
        <v>91</v>
      </c>
      <c r="AI45" s="264" t="s">
        <v>92</v>
      </c>
      <c r="AJ45" s="265">
        <f t="shared" si="1"/>
        <v>1</v>
      </c>
      <c r="AK45" s="786"/>
    </row>
    <row r="46" spans="1:46" ht="50" customHeight="1">
      <c r="A46" s="252">
        <f t="shared" si="2"/>
        <v>6</v>
      </c>
      <c r="B46" s="772" t="s">
        <v>93</v>
      </c>
      <c r="C46" s="773"/>
      <c r="D46" s="773"/>
      <c r="E46" s="773"/>
      <c r="F46" s="773"/>
      <c r="G46" s="773"/>
      <c r="H46" s="773"/>
      <c r="I46" s="773"/>
      <c r="J46" s="773"/>
      <c r="K46" s="774"/>
      <c r="L46" s="760" t="s">
        <v>80</v>
      </c>
      <c r="M46" s="761"/>
      <c r="N46" s="761"/>
      <c r="O46" s="761"/>
      <c r="P46" s="762"/>
      <c r="Q46" s="753" t="s">
        <v>64</v>
      </c>
      <c r="R46" s="753"/>
      <c r="S46" s="753"/>
      <c r="T46" s="753"/>
      <c r="U46" s="753"/>
      <c r="V46" s="586" t="s">
        <v>80</v>
      </c>
      <c r="W46" s="135" t="s">
        <v>94</v>
      </c>
      <c r="X46" s="798" t="s">
        <v>95</v>
      </c>
      <c r="Y46" s="799" t="s">
        <v>95</v>
      </c>
      <c r="Z46" s="575" t="str">
        <f>IFERROR(VLOOKUP(X46, 【参考】数式用!$A$2:$B$46, 2, FALSE), "")</f>
        <v>76</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84" t="s">
        <v>96</v>
      </c>
      <c r="AH46" s="263" t="s">
        <v>97</v>
      </c>
      <c r="AI46" s="264" t="s">
        <v>98</v>
      </c>
      <c r="AJ46" s="265">
        <f t="shared" si="1"/>
        <v>1</v>
      </c>
      <c r="AK46" s="786" t="str">
        <f>IF(AND(AJ46=AJ47, AJ47=AJ48), "一致", "不一致")</f>
        <v>一致</v>
      </c>
    </row>
    <row r="47" spans="1:46" ht="50" customHeight="1">
      <c r="A47" s="252">
        <f t="shared" si="2"/>
        <v>7</v>
      </c>
      <c r="B47" s="772" t="s">
        <v>99</v>
      </c>
      <c r="C47" s="773"/>
      <c r="D47" s="773"/>
      <c r="E47" s="773"/>
      <c r="F47" s="773"/>
      <c r="G47" s="773"/>
      <c r="H47" s="773"/>
      <c r="I47" s="773"/>
      <c r="J47" s="773"/>
      <c r="K47" s="774"/>
      <c r="L47" s="760" t="s">
        <v>64</v>
      </c>
      <c r="M47" s="761"/>
      <c r="N47" s="761"/>
      <c r="O47" s="761"/>
      <c r="P47" s="762"/>
      <c r="Q47" s="753" t="s">
        <v>64</v>
      </c>
      <c r="R47" s="753"/>
      <c r="S47" s="753"/>
      <c r="T47" s="753"/>
      <c r="U47" s="753"/>
      <c r="V47" s="586" t="s">
        <v>80</v>
      </c>
      <c r="W47" s="135" t="s">
        <v>100</v>
      </c>
      <c r="X47" s="798" t="s">
        <v>77</v>
      </c>
      <c r="Y47" s="799" t="s">
        <v>77</v>
      </c>
      <c r="Z47" s="575" t="str">
        <f>IFERROR(VLOOKUP(X47, 【参考】数式用!$A$2:$B$46, 2, FALSE), "")</f>
        <v>12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84"/>
      <c r="AH47" s="263" t="s">
        <v>101</v>
      </c>
      <c r="AI47" s="264" t="s">
        <v>102</v>
      </c>
      <c r="AJ47" s="265">
        <f t="shared" si="1"/>
        <v>1</v>
      </c>
      <c r="AK47" s="786"/>
    </row>
    <row r="48" spans="1:46" ht="50" customHeight="1">
      <c r="A48" s="252">
        <f t="shared" si="2"/>
        <v>8</v>
      </c>
      <c r="B48" s="772" t="s">
        <v>103</v>
      </c>
      <c r="C48" s="773"/>
      <c r="D48" s="773"/>
      <c r="E48" s="773"/>
      <c r="F48" s="773"/>
      <c r="G48" s="773"/>
      <c r="H48" s="773"/>
      <c r="I48" s="773"/>
      <c r="J48" s="773"/>
      <c r="K48" s="774"/>
      <c r="L48" s="760" t="s">
        <v>64</v>
      </c>
      <c r="M48" s="761"/>
      <c r="N48" s="761"/>
      <c r="O48" s="761"/>
      <c r="P48" s="762"/>
      <c r="Q48" s="753" t="s">
        <v>64</v>
      </c>
      <c r="R48" s="753"/>
      <c r="S48" s="753"/>
      <c r="T48" s="753"/>
      <c r="U48" s="753"/>
      <c r="V48" s="586" t="s">
        <v>80</v>
      </c>
      <c r="W48" s="135" t="s">
        <v>100</v>
      </c>
      <c r="X48" s="798" t="s">
        <v>104</v>
      </c>
      <c r="Y48" s="799" t="s">
        <v>104</v>
      </c>
      <c r="Z48" s="575" t="str">
        <f>IFERROR(VLOOKUP(X48, 【参考】数式用!$A$2:$B$46, 2, FALSE), "")</f>
        <v>62</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11.4</v>
      </c>
      <c r="AE48" s="598" t="s">
        <v>47</v>
      </c>
      <c r="AF48" s="253"/>
      <c r="AG48" s="784"/>
      <c r="AH48" s="263" t="s">
        <v>105</v>
      </c>
      <c r="AI48" s="264" t="s">
        <v>106</v>
      </c>
      <c r="AJ48" s="265">
        <f t="shared" si="1"/>
        <v>1</v>
      </c>
      <c r="AK48" s="786"/>
    </row>
    <row r="49" spans="1:37" ht="50" customHeight="1">
      <c r="A49" s="252">
        <f t="shared" si="2"/>
        <v>9</v>
      </c>
      <c r="B49" s="772" t="s">
        <v>107</v>
      </c>
      <c r="C49" s="773"/>
      <c r="D49" s="773"/>
      <c r="E49" s="773"/>
      <c r="F49" s="773"/>
      <c r="G49" s="773"/>
      <c r="H49" s="773"/>
      <c r="I49" s="773"/>
      <c r="J49" s="773"/>
      <c r="K49" s="774"/>
      <c r="L49" s="760" t="s">
        <v>64</v>
      </c>
      <c r="M49" s="761"/>
      <c r="N49" s="761"/>
      <c r="O49" s="761"/>
      <c r="P49" s="762"/>
      <c r="Q49" s="753" t="s">
        <v>64</v>
      </c>
      <c r="R49" s="753"/>
      <c r="S49" s="753"/>
      <c r="T49" s="753"/>
      <c r="U49" s="753"/>
      <c r="V49" s="586" t="s">
        <v>80</v>
      </c>
      <c r="W49" s="135" t="s">
        <v>108</v>
      </c>
      <c r="X49" s="798" t="s">
        <v>109</v>
      </c>
      <c r="Y49" s="799" t="s">
        <v>109</v>
      </c>
      <c r="Z49" s="575" t="str">
        <f>IFERROR(VLOOKUP(X49, 【参考】数式用!$A$2:$B$46, 2, FALSE), "")</f>
        <v>15</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84" t="s">
        <v>110</v>
      </c>
      <c r="AH49" s="263" t="s">
        <v>111</v>
      </c>
      <c r="AI49" s="264" t="s">
        <v>112</v>
      </c>
      <c r="AJ49" s="265">
        <f t="shared" si="1"/>
        <v>1</v>
      </c>
      <c r="AK49" s="786" t="str">
        <f>IF(AJ49=AJ50, "一致", "不一致")</f>
        <v>一致</v>
      </c>
    </row>
    <row r="50" spans="1:37" ht="50" customHeight="1">
      <c r="A50" s="252">
        <f t="shared" si="2"/>
        <v>10</v>
      </c>
      <c r="B50" s="772" t="s">
        <v>113</v>
      </c>
      <c r="C50" s="773"/>
      <c r="D50" s="773"/>
      <c r="E50" s="773"/>
      <c r="F50" s="773"/>
      <c r="G50" s="773"/>
      <c r="H50" s="773"/>
      <c r="I50" s="773"/>
      <c r="J50" s="773"/>
      <c r="K50" s="774"/>
      <c r="L50" s="760" t="s">
        <v>80</v>
      </c>
      <c r="M50" s="761"/>
      <c r="N50" s="761"/>
      <c r="O50" s="761"/>
      <c r="P50" s="762"/>
      <c r="Q50" s="753" t="s">
        <v>64</v>
      </c>
      <c r="R50" s="753"/>
      <c r="S50" s="753"/>
      <c r="T50" s="753"/>
      <c r="U50" s="753"/>
      <c r="V50" s="586" t="s">
        <v>80</v>
      </c>
      <c r="W50" s="135" t="s">
        <v>108</v>
      </c>
      <c r="X50" s="798" t="s">
        <v>114</v>
      </c>
      <c r="Y50" s="799" t="s">
        <v>114</v>
      </c>
      <c r="Z50" s="575" t="str">
        <f>IFERROR(VLOOKUP(X50, 【参考】数式用!$A$2:$B$46, 2, FALSE), "")</f>
        <v>78</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10.9</v>
      </c>
      <c r="AE50" s="598" t="s">
        <v>47</v>
      </c>
      <c r="AF50" s="253"/>
      <c r="AG50" s="784"/>
      <c r="AH50" s="263" t="s">
        <v>115</v>
      </c>
      <c r="AI50" s="264" t="s">
        <v>116</v>
      </c>
      <c r="AJ50" s="265">
        <f t="shared" si="1"/>
        <v>1</v>
      </c>
      <c r="AK50" s="786"/>
    </row>
    <row r="51" spans="1:37" ht="50" customHeight="1">
      <c r="A51" s="252">
        <f t="shared" si="2"/>
        <v>11</v>
      </c>
      <c r="B51" s="772" t="s">
        <v>117</v>
      </c>
      <c r="C51" s="773"/>
      <c r="D51" s="773"/>
      <c r="E51" s="773"/>
      <c r="F51" s="773"/>
      <c r="G51" s="773"/>
      <c r="H51" s="773"/>
      <c r="I51" s="773"/>
      <c r="J51" s="773"/>
      <c r="K51" s="774"/>
      <c r="L51" s="760" t="s">
        <v>64</v>
      </c>
      <c r="M51" s="761"/>
      <c r="N51" s="761"/>
      <c r="O51" s="761"/>
      <c r="P51" s="762"/>
      <c r="Q51" s="753" t="s">
        <v>64</v>
      </c>
      <c r="R51" s="753"/>
      <c r="S51" s="753"/>
      <c r="T51" s="753"/>
      <c r="U51" s="753"/>
      <c r="V51" s="586" t="s">
        <v>80</v>
      </c>
      <c r="W51" s="135" t="s">
        <v>118</v>
      </c>
      <c r="X51" s="798" t="s">
        <v>119</v>
      </c>
      <c r="Y51" s="799" t="s">
        <v>119</v>
      </c>
      <c r="Z51" s="575" t="str">
        <f>IFERROR(VLOOKUP(X51, 【参考】数式用!$A$2:$B$46, 2, FALSE), "")</f>
        <v>16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84" t="s">
        <v>120</v>
      </c>
      <c r="AH51" s="263" t="s">
        <v>121</v>
      </c>
      <c r="AI51" s="264" t="s">
        <v>122</v>
      </c>
      <c r="AJ51" s="265">
        <f t="shared" si="1"/>
        <v>1</v>
      </c>
      <c r="AK51" s="786" t="str">
        <f>IF(AJ51=AJ52, "一致", "不一致")</f>
        <v>一致</v>
      </c>
    </row>
    <row r="52" spans="1:37" ht="50" customHeight="1">
      <c r="A52" s="252">
        <f t="shared" si="2"/>
        <v>12</v>
      </c>
      <c r="B52" s="772" t="s">
        <v>123</v>
      </c>
      <c r="C52" s="773"/>
      <c r="D52" s="773"/>
      <c r="E52" s="773"/>
      <c r="F52" s="773"/>
      <c r="G52" s="773"/>
      <c r="H52" s="773"/>
      <c r="I52" s="773"/>
      <c r="J52" s="773"/>
      <c r="K52" s="774"/>
      <c r="L52" s="760" t="s">
        <v>64</v>
      </c>
      <c r="M52" s="761"/>
      <c r="N52" s="761"/>
      <c r="O52" s="761"/>
      <c r="P52" s="762"/>
      <c r="Q52" s="753" t="s">
        <v>64</v>
      </c>
      <c r="R52" s="753"/>
      <c r="S52" s="753"/>
      <c r="T52" s="753"/>
      <c r="U52" s="753"/>
      <c r="V52" s="586" t="s">
        <v>80</v>
      </c>
      <c r="W52" s="135" t="s">
        <v>118</v>
      </c>
      <c r="X52" s="798" t="s">
        <v>124</v>
      </c>
      <c r="Y52" s="799" t="s">
        <v>124</v>
      </c>
      <c r="Z52" s="575" t="str">
        <f>IFERROR(VLOOKUP(X52, 【参考】数式用!$A$2:$B$46, 2, FALSE), "")</f>
        <v>66</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11.1</v>
      </c>
      <c r="AE52" s="598" t="s">
        <v>47</v>
      </c>
      <c r="AF52" s="253"/>
      <c r="AG52" s="784"/>
      <c r="AH52" s="263" t="s">
        <v>125</v>
      </c>
      <c r="AI52" s="264" t="s">
        <v>126</v>
      </c>
      <c r="AJ52" s="265">
        <f t="shared" si="1"/>
        <v>1</v>
      </c>
      <c r="AK52" s="786"/>
    </row>
    <row r="53" spans="1:37" ht="50" customHeight="1">
      <c r="A53" s="252">
        <f t="shared" si="2"/>
        <v>13</v>
      </c>
      <c r="B53" s="772" t="s">
        <v>127</v>
      </c>
      <c r="C53" s="773"/>
      <c r="D53" s="773"/>
      <c r="E53" s="773"/>
      <c r="F53" s="773"/>
      <c r="G53" s="773"/>
      <c r="H53" s="773"/>
      <c r="I53" s="773"/>
      <c r="J53" s="773"/>
      <c r="K53" s="774"/>
      <c r="L53" s="760" t="s">
        <v>64</v>
      </c>
      <c r="M53" s="761"/>
      <c r="N53" s="761"/>
      <c r="O53" s="761"/>
      <c r="P53" s="762"/>
      <c r="Q53" s="753" t="s">
        <v>64</v>
      </c>
      <c r="R53" s="753"/>
      <c r="S53" s="753"/>
      <c r="T53" s="753"/>
      <c r="U53" s="753"/>
      <c r="V53" s="586" t="s">
        <v>80</v>
      </c>
      <c r="W53" s="135" t="s">
        <v>128</v>
      </c>
      <c r="X53" s="798" t="s">
        <v>129</v>
      </c>
      <c r="Y53" s="799" t="s">
        <v>129</v>
      </c>
      <c r="Z53" s="575" t="str">
        <f>IFERROR(VLOOKUP(X53, 【参考】数式用!$A$2:$B$46, 2, FALSE), "")</f>
        <v>33</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84" t="s">
        <v>130</v>
      </c>
      <c r="AH53" s="263" t="s">
        <v>131</v>
      </c>
      <c r="AI53" s="264" t="s">
        <v>132</v>
      </c>
      <c r="AJ53" s="265">
        <f t="shared" si="1"/>
        <v>1</v>
      </c>
      <c r="AK53" s="786" t="str">
        <f>IF(AND(AJ53=AJ54, AJ54=AJ55, AJ55=AJ56), "一致", "不一致")</f>
        <v>一致</v>
      </c>
    </row>
    <row r="54" spans="1:37" ht="50" customHeight="1">
      <c r="A54" s="252">
        <f t="shared" si="2"/>
        <v>14</v>
      </c>
      <c r="B54" s="772" t="s">
        <v>133</v>
      </c>
      <c r="C54" s="773"/>
      <c r="D54" s="773"/>
      <c r="E54" s="773"/>
      <c r="F54" s="773"/>
      <c r="G54" s="773"/>
      <c r="H54" s="773"/>
      <c r="I54" s="773"/>
      <c r="J54" s="773"/>
      <c r="K54" s="774"/>
      <c r="L54" s="760" t="s">
        <v>64</v>
      </c>
      <c r="M54" s="761"/>
      <c r="N54" s="761"/>
      <c r="O54" s="761"/>
      <c r="P54" s="762"/>
      <c r="Q54" s="753" t="s">
        <v>64</v>
      </c>
      <c r="R54" s="753"/>
      <c r="S54" s="753"/>
      <c r="T54" s="753"/>
      <c r="U54" s="753"/>
      <c r="V54" s="586" t="s">
        <v>80</v>
      </c>
      <c r="W54" s="135" t="s">
        <v>128</v>
      </c>
      <c r="X54" s="798" t="s">
        <v>134</v>
      </c>
      <c r="Y54" s="799" t="s">
        <v>134</v>
      </c>
      <c r="Z54" s="575" t="str">
        <f>IFERROR(VLOOKUP(X54, 【参考】数式用!$A$2:$B$46, 2, FALSE), "")</f>
        <v>27</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84"/>
      <c r="AH54" s="263" t="s">
        <v>135</v>
      </c>
      <c r="AI54" s="264" t="s">
        <v>136</v>
      </c>
      <c r="AJ54" s="265">
        <f t="shared" si="1"/>
        <v>1</v>
      </c>
      <c r="AK54" s="786"/>
    </row>
    <row r="55" spans="1:37" ht="50" customHeight="1">
      <c r="A55" s="252">
        <f t="shared" si="2"/>
        <v>15</v>
      </c>
      <c r="B55" s="772" t="s">
        <v>137</v>
      </c>
      <c r="C55" s="773"/>
      <c r="D55" s="773"/>
      <c r="E55" s="773"/>
      <c r="F55" s="773"/>
      <c r="G55" s="773"/>
      <c r="H55" s="773"/>
      <c r="I55" s="773"/>
      <c r="J55" s="773"/>
      <c r="K55" s="774"/>
      <c r="L55" s="760" t="s">
        <v>64</v>
      </c>
      <c r="M55" s="761"/>
      <c r="N55" s="761"/>
      <c r="O55" s="761"/>
      <c r="P55" s="762"/>
      <c r="Q55" s="753" t="s">
        <v>64</v>
      </c>
      <c r="R55" s="753"/>
      <c r="S55" s="753"/>
      <c r="T55" s="753"/>
      <c r="U55" s="753"/>
      <c r="V55" s="586" t="s">
        <v>80</v>
      </c>
      <c r="W55" s="135" t="s">
        <v>128</v>
      </c>
      <c r="X55" s="798" t="s">
        <v>138</v>
      </c>
      <c r="Y55" s="799" t="s">
        <v>138</v>
      </c>
      <c r="Z55" s="575" t="str">
        <f>IFERROR(VLOOKUP(X55, 【参考】数式用!$A$2:$B$46, 2, FALSE), "")</f>
        <v>35</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84"/>
      <c r="AH55" s="263" t="s">
        <v>139</v>
      </c>
      <c r="AI55" s="264" t="s">
        <v>140</v>
      </c>
      <c r="AJ55" s="265">
        <f t="shared" si="1"/>
        <v>1</v>
      </c>
      <c r="AK55" s="786"/>
    </row>
    <row r="56" spans="1:37" ht="50" customHeight="1">
      <c r="A56" s="252">
        <f t="shared" si="2"/>
        <v>16</v>
      </c>
      <c r="B56" s="772" t="s">
        <v>141</v>
      </c>
      <c r="C56" s="773"/>
      <c r="D56" s="773"/>
      <c r="E56" s="773"/>
      <c r="F56" s="773"/>
      <c r="G56" s="773"/>
      <c r="H56" s="773"/>
      <c r="I56" s="773"/>
      <c r="J56" s="773"/>
      <c r="K56" s="774"/>
      <c r="L56" s="760" t="s">
        <v>80</v>
      </c>
      <c r="M56" s="761"/>
      <c r="N56" s="761"/>
      <c r="O56" s="761"/>
      <c r="P56" s="762"/>
      <c r="Q56" s="753" t="s">
        <v>64</v>
      </c>
      <c r="R56" s="753"/>
      <c r="S56" s="753"/>
      <c r="T56" s="753"/>
      <c r="U56" s="753"/>
      <c r="V56" s="586" t="s">
        <v>80</v>
      </c>
      <c r="W56" s="135" t="s">
        <v>128</v>
      </c>
      <c r="X56" s="798" t="s">
        <v>142</v>
      </c>
      <c r="Y56" s="799" t="s">
        <v>142</v>
      </c>
      <c r="Z56" s="575" t="str">
        <f>IFERROR(VLOOKUP(X56, 【参考】数式用!$A$2:$B$46, 2, FALSE), "")</f>
        <v>36</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84"/>
      <c r="AH56" s="263" t="s">
        <v>143</v>
      </c>
      <c r="AI56" s="264" t="s">
        <v>144</v>
      </c>
      <c r="AJ56" s="265">
        <f t="shared" si="1"/>
        <v>1</v>
      </c>
      <c r="AK56" s="786"/>
    </row>
    <row r="57" spans="1:37" ht="50" customHeight="1">
      <c r="A57" s="252">
        <f t="shared" si="2"/>
        <v>17</v>
      </c>
      <c r="B57" s="772" t="s">
        <v>145</v>
      </c>
      <c r="C57" s="773"/>
      <c r="D57" s="773"/>
      <c r="E57" s="773"/>
      <c r="F57" s="773"/>
      <c r="G57" s="773"/>
      <c r="H57" s="773"/>
      <c r="I57" s="773"/>
      <c r="J57" s="773"/>
      <c r="K57" s="774"/>
      <c r="L57" s="760" t="s">
        <v>80</v>
      </c>
      <c r="M57" s="761"/>
      <c r="N57" s="761"/>
      <c r="O57" s="761"/>
      <c r="P57" s="762"/>
      <c r="Q57" s="753" t="s">
        <v>64</v>
      </c>
      <c r="R57" s="753"/>
      <c r="S57" s="753"/>
      <c r="T57" s="753"/>
      <c r="U57" s="753"/>
      <c r="V57" s="586" t="s">
        <v>80</v>
      </c>
      <c r="W57" s="135" t="s">
        <v>128</v>
      </c>
      <c r="X57" s="798" t="s">
        <v>146</v>
      </c>
      <c r="Y57" s="799" t="s">
        <v>146</v>
      </c>
      <c r="Z57" s="575" t="str">
        <f>IFERROR(VLOOKUP(X57, 【参考】数式用!$A$2:$B$46, 2, FALSE), "")</f>
        <v>28</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10.9</v>
      </c>
      <c r="AE57" s="598" t="s">
        <v>47</v>
      </c>
      <c r="AF57" s="253"/>
      <c r="AG57" s="784" t="s">
        <v>147</v>
      </c>
      <c r="AH57" s="263" t="s">
        <v>148</v>
      </c>
      <c r="AI57" s="264" t="s">
        <v>149</v>
      </c>
      <c r="AJ57" s="265">
        <f t="shared" si="1"/>
        <v>1</v>
      </c>
      <c r="AK57" s="786" t="str">
        <f>IF(AJ57=AJ58, "一致", "不一致")</f>
        <v>一致</v>
      </c>
    </row>
    <row r="58" spans="1:37" ht="50" customHeight="1">
      <c r="A58" s="252">
        <f t="shared" si="2"/>
        <v>18</v>
      </c>
      <c r="B58" s="772" t="s">
        <v>150</v>
      </c>
      <c r="C58" s="773"/>
      <c r="D58" s="773"/>
      <c r="E58" s="773"/>
      <c r="F58" s="773"/>
      <c r="G58" s="773"/>
      <c r="H58" s="773"/>
      <c r="I58" s="773"/>
      <c r="J58" s="773"/>
      <c r="K58" s="774"/>
      <c r="L58" s="760" t="s">
        <v>80</v>
      </c>
      <c r="M58" s="761"/>
      <c r="N58" s="761"/>
      <c r="O58" s="761"/>
      <c r="P58" s="762"/>
      <c r="Q58" s="753" t="s">
        <v>64</v>
      </c>
      <c r="R58" s="753"/>
      <c r="S58" s="753"/>
      <c r="T58" s="753"/>
      <c r="U58" s="753"/>
      <c r="V58" s="586" t="s">
        <v>80</v>
      </c>
      <c r="W58" s="135" t="s">
        <v>108</v>
      </c>
      <c r="X58" s="798" t="s">
        <v>151</v>
      </c>
      <c r="Y58" s="799" t="s">
        <v>151</v>
      </c>
      <c r="Z58" s="575" t="str">
        <f>IFERROR(VLOOKUP(X58, 【参考】数式用!$A$2:$B$46, 2, FALSE), "")</f>
        <v>72</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84"/>
      <c r="AH58" s="263" t="s">
        <v>152</v>
      </c>
      <c r="AI58" s="264" t="s">
        <v>153</v>
      </c>
      <c r="AJ58" s="265">
        <f t="shared" si="1"/>
        <v>1</v>
      </c>
      <c r="AK58" s="786"/>
    </row>
    <row r="59" spans="1:37" ht="50" customHeight="1">
      <c r="A59" s="252">
        <f t="shared" si="2"/>
        <v>19</v>
      </c>
      <c r="B59" s="772" t="s">
        <v>154</v>
      </c>
      <c r="C59" s="773"/>
      <c r="D59" s="773"/>
      <c r="E59" s="773"/>
      <c r="F59" s="773"/>
      <c r="G59" s="773"/>
      <c r="H59" s="773"/>
      <c r="I59" s="773"/>
      <c r="J59" s="773"/>
      <c r="K59" s="774"/>
      <c r="L59" s="760" t="s">
        <v>80</v>
      </c>
      <c r="M59" s="761"/>
      <c r="N59" s="761"/>
      <c r="O59" s="761"/>
      <c r="P59" s="762"/>
      <c r="Q59" s="753" t="s">
        <v>64</v>
      </c>
      <c r="R59" s="753"/>
      <c r="S59" s="753"/>
      <c r="T59" s="753"/>
      <c r="U59" s="753"/>
      <c r="V59" s="586" t="s">
        <v>80</v>
      </c>
      <c r="W59" s="135" t="s">
        <v>108</v>
      </c>
      <c r="X59" s="798" t="s">
        <v>155</v>
      </c>
      <c r="Y59" s="799" t="s">
        <v>155</v>
      </c>
      <c r="Z59" s="575" t="str">
        <f>IFERROR(VLOOKUP(X59, 【参考】数式用!$A$2:$B$46, 2, FALSE), "")</f>
        <v>74</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84" t="s">
        <v>156</v>
      </c>
      <c r="AH59" s="263" t="s">
        <v>157</v>
      </c>
      <c r="AI59" s="264" t="s">
        <v>158</v>
      </c>
      <c r="AJ59" s="265">
        <f t="shared" si="1"/>
        <v>1</v>
      </c>
      <c r="AK59" s="786" t="str">
        <f>IF(AND(AJ59=AJ60, AJ60=AJ61, AJ61=AJ62), "一致", "不一致")</f>
        <v>一致</v>
      </c>
    </row>
    <row r="60" spans="1:37" ht="50" customHeight="1">
      <c r="A60" s="252">
        <f t="shared" si="2"/>
        <v>20</v>
      </c>
      <c r="B60" s="772" t="s">
        <v>159</v>
      </c>
      <c r="C60" s="773"/>
      <c r="D60" s="773"/>
      <c r="E60" s="773"/>
      <c r="F60" s="773"/>
      <c r="G60" s="773"/>
      <c r="H60" s="773"/>
      <c r="I60" s="773"/>
      <c r="J60" s="773"/>
      <c r="K60" s="774"/>
      <c r="L60" s="760" t="s">
        <v>80</v>
      </c>
      <c r="M60" s="761"/>
      <c r="N60" s="761"/>
      <c r="O60" s="761"/>
      <c r="P60" s="762"/>
      <c r="Q60" s="753" t="s">
        <v>64</v>
      </c>
      <c r="R60" s="753"/>
      <c r="S60" s="753"/>
      <c r="T60" s="753"/>
      <c r="U60" s="753"/>
      <c r="V60" s="586" t="s">
        <v>80</v>
      </c>
      <c r="W60" s="135" t="s">
        <v>160</v>
      </c>
      <c r="X60" s="798" t="s">
        <v>161</v>
      </c>
      <c r="Y60" s="799" t="s">
        <v>161</v>
      </c>
      <c r="Z60" s="575" t="str">
        <f>IFERROR(VLOOKUP(X60, 【参考】数式用!$A$2:$B$46, 2, FALSE), "")</f>
        <v>73</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84"/>
      <c r="AH60" s="263" t="s">
        <v>162</v>
      </c>
      <c r="AI60" s="264" t="s">
        <v>163</v>
      </c>
      <c r="AJ60" s="265">
        <f t="shared" si="1"/>
        <v>1</v>
      </c>
      <c r="AK60" s="786"/>
    </row>
    <row r="61" spans="1:37" ht="50" customHeight="1">
      <c r="A61" s="252">
        <f t="shared" si="2"/>
        <v>21</v>
      </c>
      <c r="B61" s="772" t="s">
        <v>164</v>
      </c>
      <c r="C61" s="773"/>
      <c r="D61" s="773"/>
      <c r="E61" s="773"/>
      <c r="F61" s="773"/>
      <c r="G61" s="773"/>
      <c r="H61" s="773"/>
      <c r="I61" s="773"/>
      <c r="J61" s="773"/>
      <c r="K61" s="774"/>
      <c r="L61" s="760" t="s">
        <v>80</v>
      </c>
      <c r="M61" s="761"/>
      <c r="N61" s="761"/>
      <c r="O61" s="761"/>
      <c r="P61" s="762"/>
      <c r="Q61" s="753" t="s">
        <v>64</v>
      </c>
      <c r="R61" s="753"/>
      <c r="S61" s="753"/>
      <c r="T61" s="753"/>
      <c r="U61" s="753"/>
      <c r="V61" s="586" t="s">
        <v>80</v>
      </c>
      <c r="W61" s="135" t="s">
        <v>160</v>
      </c>
      <c r="X61" s="798" t="s">
        <v>165</v>
      </c>
      <c r="Y61" s="799" t="s">
        <v>165</v>
      </c>
      <c r="Z61" s="575" t="str">
        <f>IFERROR(VLOOKUP(X61, 【参考】数式用!$A$2:$B$46, 2, FALSE), "")</f>
        <v>68</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84"/>
      <c r="AH61" s="263" t="s">
        <v>166</v>
      </c>
      <c r="AI61" s="264" t="s">
        <v>167</v>
      </c>
      <c r="AJ61" s="265">
        <f t="shared" si="1"/>
        <v>1</v>
      </c>
      <c r="AK61" s="786"/>
    </row>
    <row r="62" spans="1:37" ht="50" customHeight="1">
      <c r="A62" s="252">
        <f t="shared" si="2"/>
        <v>22</v>
      </c>
      <c r="B62" s="772" t="s">
        <v>168</v>
      </c>
      <c r="C62" s="773"/>
      <c r="D62" s="773"/>
      <c r="E62" s="773"/>
      <c r="F62" s="773"/>
      <c r="G62" s="773"/>
      <c r="H62" s="773"/>
      <c r="I62" s="773"/>
      <c r="J62" s="773"/>
      <c r="K62" s="774"/>
      <c r="L62" s="760" t="s">
        <v>80</v>
      </c>
      <c r="M62" s="761"/>
      <c r="N62" s="761"/>
      <c r="O62" s="761"/>
      <c r="P62" s="762"/>
      <c r="Q62" s="753" t="s">
        <v>64</v>
      </c>
      <c r="R62" s="753"/>
      <c r="S62" s="753"/>
      <c r="T62" s="753"/>
      <c r="U62" s="753"/>
      <c r="V62" s="586" t="s">
        <v>80</v>
      </c>
      <c r="W62" s="135" t="s">
        <v>160</v>
      </c>
      <c r="X62" s="798" t="s">
        <v>169</v>
      </c>
      <c r="Y62" s="799" t="s">
        <v>169</v>
      </c>
      <c r="Z62" s="575" t="str">
        <f>IFERROR(VLOOKUP(X62, 【参考】数式用!$A$2:$B$46, 2, FALSE), "")</f>
        <v>75</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84"/>
      <c r="AH62" s="263" t="s">
        <v>170</v>
      </c>
      <c r="AI62" s="264" t="s">
        <v>171</v>
      </c>
      <c r="AJ62" s="265">
        <f t="shared" si="1"/>
        <v>1</v>
      </c>
      <c r="AK62" s="786"/>
    </row>
    <row r="63" spans="1:37" ht="50" customHeight="1">
      <c r="A63" s="252">
        <f t="shared" si="2"/>
        <v>23</v>
      </c>
      <c r="B63" s="772" t="s">
        <v>172</v>
      </c>
      <c r="C63" s="773"/>
      <c r="D63" s="773"/>
      <c r="E63" s="773"/>
      <c r="F63" s="773"/>
      <c r="G63" s="773"/>
      <c r="H63" s="773"/>
      <c r="I63" s="773"/>
      <c r="J63" s="773"/>
      <c r="K63" s="774"/>
      <c r="L63" s="760" t="s">
        <v>80</v>
      </c>
      <c r="M63" s="761"/>
      <c r="N63" s="761"/>
      <c r="O63" s="761"/>
      <c r="P63" s="762"/>
      <c r="Q63" s="753" t="s">
        <v>64</v>
      </c>
      <c r="R63" s="753"/>
      <c r="S63" s="753"/>
      <c r="T63" s="753"/>
      <c r="U63" s="753"/>
      <c r="V63" s="586" t="s">
        <v>80</v>
      </c>
      <c r="W63" s="135" t="s">
        <v>160</v>
      </c>
      <c r="X63" s="798" t="s">
        <v>173</v>
      </c>
      <c r="Y63" s="799" t="s">
        <v>173</v>
      </c>
      <c r="Z63" s="575" t="str">
        <f>IFERROR(VLOOKUP(X63, 【参考】数式用!$A$2:$B$46, 2, FALSE), "")</f>
        <v>69</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84" t="s">
        <v>174</v>
      </c>
      <c r="AH63" s="263" t="s">
        <v>175</v>
      </c>
      <c r="AI63" s="264" t="s">
        <v>176</v>
      </c>
      <c r="AJ63" s="265">
        <f t="shared" si="1"/>
        <v>1</v>
      </c>
      <c r="AK63" s="786" t="str">
        <f>IF(AJ63=AJ64, "一致", "不一致")</f>
        <v>一致</v>
      </c>
    </row>
    <row r="64" spans="1:37" ht="50" customHeight="1">
      <c r="A64" s="252">
        <f t="shared" si="2"/>
        <v>24</v>
      </c>
      <c r="B64" s="772" t="s">
        <v>177</v>
      </c>
      <c r="C64" s="773"/>
      <c r="D64" s="773"/>
      <c r="E64" s="773"/>
      <c r="F64" s="773"/>
      <c r="G64" s="773"/>
      <c r="H64" s="773"/>
      <c r="I64" s="773"/>
      <c r="J64" s="773"/>
      <c r="K64" s="774"/>
      <c r="L64" s="760" t="s">
        <v>80</v>
      </c>
      <c r="M64" s="761"/>
      <c r="N64" s="761"/>
      <c r="O64" s="761"/>
      <c r="P64" s="762"/>
      <c r="Q64" s="753" t="s">
        <v>64</v>
      </c>
      <c r="R64" s="753"/>
      <c r="S64" s="753"/>
      <c r="T64" s="753"/>
      <c r="U64" s="753"/>
      <c r="V64" s="586" t="s">
        <v>80</v>
      </c>
      <c r="W64" s="135" t="s">
        <v>178</v>
      </c>
      <c r="X64" s="798" t="s">
        <v>179</v>
      </c>
      <c r="Y64" s="799" t="s">
        <v>179</v>
      </c>
      <c r="Z64" s="575" t="str">
        <f>IFERROR(VLOOKUP(X64, 【参考】数式用!$A$2:$B$46, 2, FALSE), "")</f>
        <v>77</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84"/>
      <c r="AH64" s="263" t="s">
        <v>180</v>
      </c>
      <c r="AI64" s="264" t="s">
        <v>181</v>
      </c>
      <c r="AJ64" s="265">
        <f t="shared" si="1"/>
        <v>1</v>
      </c>
      <c r="AK64" s="786"/>
    </row>
    <row r="65" spans="1:37" ht="50" customHeight="1">
      <c r="A65" s="252">
        <f t="shared" si="2"/>
        <v>25</v>
      </c>
      <c r="B65" s="772" t="s">
        <v>182</v>
      </c>
      <c r="C65" s="773"/>
      <c r="D65" s="773"/>
      <c r="E65" s="773"/>
      <c r="F65" s="773"/>
      <c r="G65" s="773"/>
      <c r="H65" s="773"/>
      <c r="I65" s="773"/>
      <c r="J65" s="773"/>
      <c r="K65" s="774"/>
      <c r="L65" s="760" t="s">
        <v>80</v>
      </c>
      <c r="M65" s="761"/>
      <c r="N65" s="761"/>
      <c r="O65" s="761"/>
      <c r="P65" s="762"/>
      <c r="Q65" s="753" t="s">
        <v>64</v>
      </c>
      <c r="R65" s="753"/>
      <c r="S65" s="753"/>
      <c r="T65" s="753"/>
      <c r="U65" s="753"/>
      <c r="V65" s="586" t="s">
        <v>80</v>
      </c>
      <c r="W65" s="135" t="s">
        <v>178</v>
      </c>
      <c r="X65" s="798" t="s">
        <v>183</v>
      </c>
      <c r="Y65" s="799" t="s">
        <v>183</v>
      </c>
      <c r="Z65" s="575" t="str">
        <f>IFERROR(VLOOKUP(X65, 【参考】数式用!$A$2:$B$46, 2, FALSE), "")</f>
        <v>79</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11.1</v>
      </c>
      <c r="AE65" s="598" t="s">
        <v>47</v>
      </c>
      <c r="AF65" s="253"/>
      <c r="AG65" s="787" t="s">
        <v>184</v>
      </c>
      <c r="AH65" s="263" t="s">
        <v>185</v>
      </c>
      <c r="AI65" s="264" t="s">
        <v>186</v>
      </c>
      <c r="AJ65" s="265">
        <f t="shared" si="1"/>
        <v>1</v>
      </c>
      <c r="AK65" s="786" t="str">
        <f>IF(AJ65=AJ66, "一致", "不一致")</f>
        <v>一致</v>
      </c>
    </row>
    <row r="66" spans="1:37" ht="50" customHeight="1">
      <c r="A66" s="252">
        <f t="shared" si="2"/>
        <v>26</v>
      </c>
      <c r="B66" s="772" t="s">
        <v>187</v>
      </c>
      <c r="C66" s="773"/>
      <c r="D66" s="773"/>
      <c r="E66" s="773"/>
      <c r="F66" s="773"/>
      <c r="G66" s="773"/>
      <c r="H66" s="773"/>
      <c r="I66" s="773"/>
      <c r="J66" s="773"/>
      <c r="K66" s="774"/>
      <c r="L66" s="760" t="s">
        <v>80</v>
      </c>
      <c r="M66" s="761"/>
      <c r="N66" s="761"/>
      <c r="O66" s="761"/>
      <c r="P66" s="762"/>
      <c r="Q66" s="753" t="s">
        <v>64</v>
      </c>
      <c r="R66" s="753"/>
      <c r="S66" s="753"/>
      <c r="T66" s="753"/>
      <c r="U66" s="753"/>
      <c r="V66" s="586" t="s">
        <v>80</v>
      </c>
      <c r="W66" s="135" t="s">
        <v>188</v>
      </c>
      <c r="X66" s="798" t="s">
        <v>189</v>
      </c>
      <c r="Y66" s="799" t="s">
        <v>189</v>
      </c>
      <c r="Z66" s="575" t="str">
        <f>IFERROR(VLOOKUP(X66, 【参考】数式用!$A$2:$B$46, 2, FALSE), "")</f>
        <v>32</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87"/>
      <c r="AH66" s="263" t="s">
        <v>190</v>
      </c>
      <c r="AI66" s="264" t="s">
        <v>191</v>
      </c>
      <c r="AJ66" s="265">
        <f t="shared" si="1"/>
        <v>1</v>
      </c>
      <c r="AK66" s="786"/>
    </row>
    <row r="67" spans="1:37" ht="50" customHeight="1">
      <c r="A67" s="252">
        <f t="shared" si="2"/>
        <v>27</v>
      </c>
      <c r="B67" s="772" t="s">
        <v>192</v>
      </c>
      <c r="C67" s="773"/>
      <c r="D67" s="773"/>
      <c r="E67" s="773"/>
      <c r="F67" s="773"/>
      <c r="G67" s="773"/>
      <c r="H67" s="773"/>
      <c r="I67" s="773"/>
      <c r="J67" s="773"/>
      <c r="K67" s="774"/>
      <c r="L67" s="760" t="s">
        <v>80</v>
      </c>
      <c r="M67" s="761"/>
      <c r="N67" s="761"/>
      <c r="O67" s="761"/>
      <c r="P67" s="762"/>
      <c r="Q67" s="753" t="s">
        <v>64</v>
      </c>
      <c r="R67" s="753"/>
      <c r="S67" s="753"/>
      <c r="T67" s="753"/>
      <c r="U67" s="753"/>
      <c r="V67" s="586" t="s">
        <v>80</v>
      </c>
      <c r="W67" s="135" t="s">
        <v>188</v>
      </c>
      <c r="X67" s="798" t="s">
        <v>193</v>
      </c>
      <c r="Y67" s="799" t="s">
        <v>193</v>
      </c>
      <c r="Z67" s="575" t="str">
        <f>IFERROR(VLOOKUP(X67, 【参考】数式用!$A$2:$B$46, 2, FALSE), "")</f>
        <v>38</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87" t="s">
        <v>194</v>
      </c>
      <c r="AH67" s="263" t="s">
        <v>195</v>
      </c>
      <c r="AI67" s="264" t="s">
        <v>196</v>
      </c>
      <c r="AJ67" s="265">
        <f t="shared" si="1"/>
        <v>1</v>
      </c>
      <c r="AK67" s="786" t="str">
        <f>IF(AJ67=AJ68, "一致", "不一致")</f>
        <v>一致</v>
      </c>
    </row>
    <row r="68" spans="1:37" ht="50" customHeight="1">
      <c r="A68" s="252">
        <f t="shared" si="2"/>
        <v>28</v>
      </c>
      <c r="B68" s="772" t="s">
        <v>197</v>
      </c>
      <c r="C68" s="773"/>
      <c r="D68" s="773"/>
      <c r="E68" s="773"/>
      <c r="F68" s="773"/>
      <c r="G68" s="773"/>
      <c r="H68" s="773"/>
      <c r="I68" s="773"/>
      <c r="J68" s="773"/>
      <c r="K68" s="774"/>
      <c r="L68" s="760" t="s">
        <v>80</v>
      </c>
      <c r="M68" s="761"/>
      <c r="N68" s="761"/>
      <c r="O68" s="761"/>
      <c r="P68" s="762"/>
      <c r="Q68" s="753" t="s">
        <v>64</v>
      </c>
      <c r="R68" s="753"/>
      <c r="S68" s="753"/>
      <c r="T68" s="753"/>
      <c r="U68" s="753"/>
      <c r="V68" s="586" t="s">
        <v>80</v>
      </c>
      <c r="W68" s="135" t="s">
        <v>188</v>
      </c>
      <c r="X68" s="798" t="s">
        <v>198</v>
      </c>
      <c r="Y68" s="799" t="s">
        <v>198</v>
      </c>
      <c r="Z68" s="575" t="str">
        <f>IFERROR(VLOOKUP(X68, 【参考】数式用!$A$2:$B$46, 2, FALSE), "")</f>
        <v>37</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87"/>
      <c r="AH68" s="263" t="s">
        <v>199</v>
      </c>
      <c r="AI68" s="264" t="s">
        <v>200</v>
      </c>
      <c r="AJ68" s="265">
        <f t="shared" si="1"/>
        <v>1</v>
      </c>
      <c r="AK68" s="786"/>
    </row>
    <row r="69" spans="1:37" ht="50" customHeight="1">
      <c r="A69" s="252">
        <f t="shared" si="2"/>
        <v>29</v>
      </c>
      <c r="B69" s="772" t="s">
        <v>201</v>
      </c>
      <c r="C69" s="773"/>
      <c r="D69" s="773"/>
      <c r="E69" s="773"/>
      <c r="F69" s="773"/>
      <c r="G69" s="773"/>
      <c r="H69" s="773"/>
      <c r="I69" s="773"/>
      <c r="J69" s="773"/>
      <c r="K69" s="774"/>
      <c r="L69" s="760" t="s">
        <v>80</v>
      </c>
      <c r="M69" s="761"/>
      <c r="N69" s="761"/>
      <c r="O69" s="761"/>
      <c r="P69" s="762"/>
      <c r="Q69" s="753" t="s">
        <v>64</v>
      </c>
      <c r="R69" s="753"/>
      <c r="S69" s="753"/>
      <c r="T69" s="753"/>
      <c r="U69" s="753"/>
      <c r="V69" s="586" t="s">
        <v>80</v>
      </c>
      <c r="W69" s="135" t="s">
        <v>188</v>
      </c>
      <c r="X69" s="798" t="s">
        <v>202</v>
      </c>
      <c r="Y69" s="799" t="s">
        <v>202</v>
      </c>
      <c r="Z69" s="575" t="str">
        <f>IFERROR(VLOOKUP(X69, 【参考】数式用!$A$2:$B$46, 2, FALSE), "")</f>
        <v>39</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87" t="s">
        <v>203</v>
      </c>
      <c r="AH69" s="263" t="s">
        <v>204</v>
      </c>
      <c r="AI69" s="264" t="s">
        <v>205</v>
      </c>
      <c r="AJ69" s="265">
        <f t="shared" si="1"/>
        <v>1</v>
      </c>
      <c r="AK69" s="786" t="str">
        <f>IF(AJ69=AJ70, "一致", "不一致")</f>
        <v>一致</v>
      </c>
    </row>
    <row r="70" spans="1:37" ht="50" customHeight="1">
      <c r="A70" s="252">
        <f t="shared" si="2"/>
        <v>30</v>
      </c>
      <c r="B70" s="772" t="s">
        <v>206</v>
      </c>
      <c r="C70" s="773"/>
      <c r="D70" s="773"/>
      <c r="E70" s="773"/>
      <c r="F70" s="773"/>
      <c r="G70" s="773"/>
      <c r="H70" s="773"/>
      <c r="I70" s="773"/>
      <c r="J70" s="773"/>
      <c r="K70" s="774"/>
      <c r="L70" s="760" t="s">
        <v>64</v>
      </c>
      <c r="M70" s="761"/>
      <c r="N70" s="761"/>
      <c r="O70" s="761"/>
      <c r="P70" s="762"/>
      <c r="Q70" s="753" t="s">
        <v>64</v>
      </c>
      <c r="R70" s="753"/>
      <c r="S70" s="753"/>
      <c r="T70" s="753"/>
      <c r="U70" s="753"/>
      <c r="V70" s="586" t="s">
        <v>80</v>
      </c>
      <c r="W70" s="135" t="s">
        <v>207</v>
      </c>
      <c r="X70" s="798" t="s">
        <v>208</v>
      </c>
      <c r="Y70" s="799" t="s">
        <v>208</v>
      </c>
      <c r="Z70" s="575" t="str">
        <f>IFERROR(VLOOKUP(X70, 【参考】数式用!$A$2:$B$46, 2, FALSE), "")</f>
        <v>51</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87"/>
      <c r="AH70" s="263" t="s">
        <v>209</v>
      </c>
      <c r="AI70" s="264" t="s">
        <v>210</v>
      </c>
      <c r="AJ70" s="265">
        <f t="shared" si="1"/>
        <v>1</v>
      </c>
      <c r="AK70" s="786"/>
    </row>
    <row r="71" spans="1:37" ht="50" customHeight="1">
      <c r="A71" s="252">
        <f t="shared" si="2"/>
        <v>31</v>
      </c>
      <c r="B71" s="772" t="s">
        <v>211</v>
      </c>
      <c r="C71" s="773"/>
      <c r="D71" s="773"/>
      <c r="E71" s="773"/>
      <c r="F71" s="773"/>
      <c r="G71" s="773"/>
      <c r="H71" s="773"/>
      <c r="I71" s="773"/>
      <c r="J71" s="773"/>
      <c r="K71" s="774"/>
      <c r="L71" s="760" t="s">
        <v>80</v>
      </c>
      <c r="M71" s="761"/>
      <c r="N71" s="761"/>
      <c r="O71" s="761"/>
      <c r="P71" s="762"/>
      <c r="Q71" s="753" t="s">
        <v>64</v>
      </c>
      <c r="R71" s="753"/>
      <c r="S71" s="753"/>
      <c r="T71" s="753"/>
      <c r="U71" s="753"/>
      <c r="V71" s="586" t="s">
        <v>80</v>
      </c>
      <c r="W71" s="135" t="s">
        <v>207</v>
      </c>
      <c r="X71" s="798" t="s">
        <v>212</v>
      </c>
      <c r="Y71" s="799" t="s">
        <v>212</v>
      </c>
      <c r="Z71" s="575" t="str">
        <f>IFERROR(VLOOKUP(X71, 【参考】数式用!$A$2:$B$46, 2, FALSE), "")</f>
        <v>54</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10.9</v>
      </c>
      <c r="AE71" s="598" t="s">
        <v>47</v>
      </c>
      <c r="AF71" s="253"/>
      <c r="AG71" s="787" t="s">
        <v>213</v>
      </c>
      <c r="AH71" s="263" t="s">
        <v>214</v>
      </c>
      <c r="AI71" s="264" t="s">
        <v>215</v>
      </c>
      <c r="AJ71" s="265">
        <f t="shared" si="1"/>
        <v>1</v>
      </c>
      <c r="AK71" s="786" t="str">
        <f>IF(AJ71=AJ72, "一致", "不一致")</f>
        <v>一致</v>
      </c>
    </row>
    <row r="72" spans="1:37" ht="50" customHeight="1">
      <c r="A72" s="252">
        <f t="shared" si="2"/>
        <v>32</v>
      </c>
      <c r="B72" s="772" t="s">
        <v>216</v>
      </c>
      <c r="C72" s="773"/>
      <c r="D72" s="773"/>
      <c r="E72" s="773"/>
      <c r="F72" s="773"/>
      <c r="G72" s="773"/>
      <c r="H72" s="773"/>
      <c r="I72" s="773"/>
      <c r="J72" s="773"/>
      <c r="K72" s="774"/>
      <c r="L72" s="760" t="s">
        <v>64</v>
      </c>
      <c r="M72" s="761"/>
      <c r="N72" s="761"/>
      <c r="O72" s="761"/>
      <c r="P72" s="762"/>
      <c r="Q72" s="753" t="s">
        <v>64</v>
      </c>
      <c r="R72" s="753"/>
      <c r="S72" s="753"/>
      <c r="T72" s="753"/>
      <c r="U72" s="753"/>
      <c r="V72" s="586" t="s">
        <v>80</v>
      </c>
      <c r="W72" s="135" t="s">
        <v>207</v>
      </c>
      <c r="X72" s="798" t="s">
        <v>175</v>
      </c>
      <c r="Y72" s="799" t="s">
        <v>175</v>
      </c>
      <c r="Z72" s="575" t="str">
        <f>IFERROR(VLOOKUP(X72, 【参考】数式用!$A$2:$B$46, 2, FALSE), "")</f>
        <v>21</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87"/>
      <c r="AH72" s="263" t="s">
        <v>217</v>
      </c>
      <c r="AI72" s="264" t="s">
        <v>218</v>
      </c>
      <c r="AJ72" s="265">
        <f t="shared" si="1"/>
        <v>1</v>
      </c>
      <c r="AK72" s="786"/>
    </row>
    <row r="73" spans="1:37" ht="50" customHeight="1">
      <c r="A73" s="252">
        <f t="shared" si="2"/>
        <v>33</v>
      </c>
      <c r="B73" s="772" t="s">
        <v>219</v>
      </c>
      <c r="C73" s="773"/>
      <c r="D73" s="773"/>
      <c r="E73" s="773"/>
      <c r="F73" s="773"/>
      <c r="G73" s="773"/>
      <c r="H73" s="773"/>
      <c r="I73" s="773"/>
      <c r="J73" s="773"/>
      <c r="K73" s="774"/>
      <c r="L73" s="760" t="s">
        <v>64</v>
      </c>
      <c r="M73" s="761"/>
      <c r="N73" s="761"/>
      <c r="O73" s="761"/>
      <c r="P73" s="762"/>
      <c r="Q73" s="753" t="s">
        <v>64</v>
      </c>
      <c r="R73" s="753"/>
      <c r="S73" s="753"/>
      <c r="T73" s="753"/>
      <c r="U73" s="753"/>
      <c r="V73" s="586" t="s">
        <v>80</v>
      </c>
      <c r="W73" s="135" t="s">
        <v>207</v>
      </c>
      <c r="X73" s="798" t="s">
        <v>220</v>
      </c>
      <c r="Y73" s="799" t="s">
        <v>220</v>
      </c>
      <c r="Z73" s="575" t="str">
        <f>IFERROR(VLOOKUP(X73, 【参考】数式用!$A$2:$B$46, 2, FALSE), "")</f>
        <v>24</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11.1</v>
      </c>
      <c r="AE73" s="598" t="s">
        <v>47</v>
      </c>
      <c r="AF73" s="253"/>
      <c r="AG73" s="787" t="s">
        <v>221</v>
      </c>
      <c r="AH73" s="263" t="s">
        <v>222</v>
      </c>
      <c r="AI73" s="264" t="s">
        <v>223</v>
      </c>
      <c r="AJ73" s="265">
        <f t="shared" si="1"/>
        <v>1</v>
      </c>
      <c r="AK73" s="786" t="str">
        <f>IF(AJ73=AJ74, "一致", "不一致")</f>
        <v>一致</v>
      </c>
    </row>
    <row r="74" spans="1:37" ht="50" customHeight="1" thickBot="1">
      <c r="A74" s="252">
        <f t="shared" si="2"/>
        <v>34</v>
      </c>
      <c r="B74" s="772" t="s">
        <v>224</v>
      </c>
      <c r="C74" s="773"/>
      <c r="D74" s="773"/>
      <c r="E74" s="773"/>
      <c r="F74" s="773"/>
      <c r="G74" s="773"/>
      <c r="H74" s="773"/>
      <c r="I74" s="773"/>
      <c r="J74" s="773"/>
      <c r="K74" s="774"/>
      <c r="L74" s="760" t="s">
        <v>64</v>
      </c>
      <c r="M74" s="761"/>
      <c r="N74" s="761"/>
      <c r="O74" s="761"/>
      <c r="P74" s="762"/>
      <c r="Q74" s="753" t="s">
        <v>64</v>
      </c>
      <c r="R74" s="753"/>
      <c r="S74" s="753"/>
      <c r="T74" s="753"/>
      <c r="U74" s="753"/>
      <c r="V74" s="586" t="s">
        <v>80</v>
      </c>
      <c r="W74" s="135" t="s">
        <v>207</v>
      </c>
      <c r="X74" s="798" t="s">
        <v>225</v>
      </c>
      <c r="Y74" s="799" t="s">
        <v>225</v>
      </c>
      <c r="Z74" s="575" t="str">
        <f>IFERROR(VLOOKUP(X74, 【参考】数式用!$A$2:$B$46, 2, FALSE), "")</f>
        <v>52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800"/>
      <c r="AH74" s="266" t="s">
        <v>226</v>
      </c>
      <c r="AI74" s="267" t="s">
        <v>227</v>
      </c>
      <c r="AJ74" s="268">
        <f t="shared" si="1"/>
        <v>1</v>
      </c>
      <c r="AK74" s="801"/>
    </row>
    <row r="75" spans="1:37" ht="50" customHeight="1">
      <c r="A75" s="252">
        <f t="shared" si="2"/>
        <v>35</v>
      </c>
      <c r="B75" s="772" t="s">
        <v>228</v>
      </c>
      <c r="C75" s="773"/>
      <c r="D75" s="773"/>
      <c r="E75" s="773"/>
      <c r="F75" s="773"/>
      <c r="G75" s="773"/>
      <c r="H75" s="773"/>
      <c r="I75" s="773"/>
      <c r="J75" s="773"/>
      <c r="K75" s="774"/>
      <c r="L75" s="760" t="s">
        <v>64</v>
      </c>
      <c r="M75" s="761"/>
      <c r="N75" s="761"/>
      <c r="O75" s="761"/>
      <c r="P75" s="762"/>
      <c r="Q75" s="753" t="s">
        <v>64</v>
      </c>
      <c r="R75" s="753"/>
      <c r="S75" s="753"/>
      <c r="T75" s="753"/>
      <c r="U75" s="753"/>
      <c r="V75" s="586" t="s">
        <v>80</v>
      </c>
      <c r="W75" s="135" t="s">
        <v>207</v>
      </c>
      <c r="X75" s="798" t="s">
        <v>229</v>
      </c>
      <c r="Y75" s="799" t="s">
        <v>229</v>
      </c>
      <c r="Z75" s="575" t="str">
        <f>IFERROR(VLOOKUP(X75, 【参考】数式用!$A$2:$B$46, 2, FALSE), "")</f>
        <v>22</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50" customHeight="1">
      <c r="A76" s="252">
        <f t="shared" si="2"/>
        <v>36</v>
      </c>
      <c r="B76" s="772" t="s">
        <v>230</v>
      </c>
      <c r="C76" s="773"/>
      <c r="D76" s="773"/>
      <c r="E76" s="773"/>
      <c r="F76" s="773"/>
      <c r="G76" s="773"/>
      <c r="H76" s="773"/>
      <c r="I76" s="773"/>
      <c r="J76" s="773"/>
      <c r="K76" s="774"/>
      <c r="L76" s="760" t="s">
        <v>64</v>
      </c>
      <c r="M76" s="761"/>
      <c r="N76" s="761"/>
      <c r="O76" s="761"/>
      <c r="P76" s="762"/>
      <c r="Q76" s="753" t="s">
        <v>64</v>
      </c>
      <c r="R76" s="753"/>
      <c r="S76" s="753"/>
      <c r="T76" s="753"/>
      <c r="U76" s="753"/>
      <c r="V76" s="586" t="s">
        <v>80</v>
      </c>
      <c r="W76" s="135" t="s">
        <v>207</v>
      </c>
      <c r="X76" s="798" t="s">
        <v>231</v>
      </c>
      <c r="Y76" s="799" t="s">
        <v>231</v>
      </c>
      <c r="Z76" s="575" t="str">
        <f>IFERROR(VLOOKUP(X76, 【参考】数式用!$A$2:$B$46, 2, FALSE), "")</f>
        <v>25</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50" customHeight="1">
      <c r="A77" s="252">
        <f t="shared" si="2"/>
        <v>37</v>
      </c>
      <c r="B77" s="772" t="s">
        <v>232</v>
      </c>
      <c r="C77" s="773"/>
      <c r="D77" s="773"/>
      <c r="E77" s="773"/>
      <c r="F77" s="773"/>
      <c r="G77" s="773"/>
      <c r="H77" s="773"/>
      <c r="I77" s="773"/>
      <c r="J77" s="773"/>
      <c r="K77" s="774"/>
      <c r="L77" s="760" t="s">
        <v>64</v>
      </c>
      <c r="M77" s="761"/>
      <c r="N77" s="761"/>
      <c r="O77" s="761"/>
      <c r="P77" s="762"/>
      <c r="Q77" s="753" t="s">
        <v>64</v>
      </c>
      <c r="R77" s="753"/>
      <c r="S77" s="753"/>
      <c r="T77" s="753"/>
      <c r="U77" s="753"/>
      <c r="V77" s="586" t="s">
        <v>80</v>
      </c>
      <c r="W77" s="135" t="s">
        <v>207</v>
      </c>
      <c r="X77" s="798" t="s">
        <v>195</v>
      </c>
      <c r="Y77" s="799" t="s">
        <v>195</v>
      </c>
      <c r="Z77" s="575" t="str">
        <f>IFERROR(VLOOKUP(X77, 【参考】数式用!$A$2:$B$46, 2, FALSE), "")</f>
        <v>23</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50" customHeight="1">
      <c r="A78" s="252">
        <f t="shared" si="2"/>
        <v>38</v>
      </c>
      <c r="B78" s="772" t="s">
        <v>233</v>
      </c>
      <c r="C78" s="773"/>
      <c r="D78" s="773"/>
      <c r="E78" s="773"/>
      <c r="F78" s="773"/>
      <c r="G78" s="773"/>
      <c r="H78" s="773"/>
      <c r="I78" s="773"/>
      <c r="J78" s="773"/>
      <c r="K78" s="774"/>
      <c r="L78" s="760" t="s">
        <v>64</v>
      </c>
      <c r="M78" s="761"/>
      <c r="N78" s="761"/>
      <c r="O78" s="761"/>
      <c r="P78" s="762"/>
      <c r="Q78" s="753" t="s">
        <v>64</v>
      </c>
      <c r="R78" s="753"/>
      <c r="S78" s="753"/>
      <c r="T78" s="753"/>
      <c r="U78" s="753"/>
      <c r="V78" s="586" t="s">
        <v>80</v>
      </c>
      <c r="W78" s="135" t="s">
        <v>207</v>
      </c>
      <c r="X78" s="798" t="s">
        <v>234</v>
      </c>
      <c r="Y78" s="799" t="s">
        <v>234</v>
      </c>
      <c r="Z78" s="575" t="str">
        <f>IFERROR(VLOOKUP(X78, 【参考】数式用!$A$2:$B$46, 2, FALSE), "")</f>
        <v>26</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50" customHeight="1">
      <c r="A79" s="252">
        <f t="shared" si="2"/>
        <v>39</v>
      </c>
      <c r="B79" s="772" t="s">
        <v>235</v>
      </c>
      <c r="C79" s="773"/>
      <c r="D79" s="773"/>
      <c r="E79" s="773"/>
      <c r="F79" s="773"/>
      <c r="G79" s="773"/>
      <c r="H79" s="773"/>
      <c r="I79" s="773"/>
      <c r="J79" s="773"/>
      <c r="K79" s="774"/>
      <c r="L79" s="760" t="s">
        <v>64</v>
      </c>
      <c r="M79" s="761"/>
      <c r="N79" s="761"/>
      <c r="O79" s="761"/>
      <c r="P79" s="762"/>
      <c r="Q79" s="753" t="s">
        <v>64</v>
      </c>
      <c r="R79" s="753"/>
      <c r="S79" s="753"/>
      <c r="T79" s="753"/>
      <c r="U79" s="753"/>
      <c r="V79" s="586" t="s">
        <v>80</v>
      </c>
      <c r="W79" s="135" t="s">
        <v>207</v>
      </c>
      <c r="X79" s="798" t="s">
        <v>236</v>
      </c>
      <c r="Y79" s="799" t="s">
        <v>236</v>
      </c>
      <c r="Z79" s="575" t="str">
        <f>IFERROR(VLOOKUP(X79, 【参考】数式用!$A$2:$B$46, 2, FALSE), "")</f>
        <v>55</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50" customHeight="1">
      <c r="A80" s="252">
        <f t="shared" ref="A80:A106" si="3">A79+1</f>
        <v>40</v>
      </c>
      <c r="B80" s="772" t="s">
        <v>237</v>
      </c>
      <c r="C80" s="773"/>
      <c r="D80" s="773"/>
      <c r="E80" s="773"/>
      <c r="F80" s="773"/>
      <c r="G80" s="773"/>
      <c r="H80" s="773"/>
      <c r="I80" s="773"/>
      <c r="J80" s="773"/>
      <c r="K80" s="774"/>
      <c r="L80" s="760" t="s">
        <v>64</v>
      </c>
      <c r="M80" s="761"/>
      <c r="N80" s="761"/>
      <c r="O80" s="761"/>
      <c r="P80" s="762"/>
      <c r="Q80" s="752" t="s">
        <v>64</v>
      </c>
      <c r="R80" s="752"/>
      <c r="S80" s="752"/>
      <c r="T80" s="752"/>
      <c r="U80" s="752"/>
      <c r="V80" s="135" t="s">
        <v>80</v>
      </c>
      <c r="W80" s="135" t="s">
        <v>207</v>
      </c>
      <c r="X80" s="798" t="s">
        <v>238</v>
      </c>
      <c r="Y80" s="799" t="s">
        <v>238</v>
      </c>
      <c r="Z80" s="575" t="str">
        <f>IFERROR(VLOOKUP(X80, 【参考】数式用!$A$2:$B$46, 2, FALSE), "")</f>
        <v>2A</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50" customHeight="1">
      <c r="A81" s="252">
        <f t="shared" si="3"/>
        <v>41</v>
      </c>
      <c r="B81" s="772" t="s">
        <v>239</v>
      </c>
      <c r="C81" s="773"/>
      <c r="D81" s="773"/>
      <c r="E81" s="773"/>
      <c r="F81" s="773"/>
      <c r="G81" s="773"/>
      <c r="H81" s="773"/>
      <c r="I81" s="773"/>
      <c r="J81" s="773"/>
      <c r="K81" s="774"/>
      <c r="L81" s="760" t="s">
        <v>64</v>
      </c>
      <c r="M81" s="761"/>
      <c r="N81" s="761"/>
      <c r="O81" s="761"/>
      <c r="P81" s="762"/>
      <c r="Q81" s="752" t="s">
        <v>64</v>
      </c>
      <c r="R81" s="752"/>
      <c r="S81" s="752"/>
      <c r="T81" s="752"/>
      <c r="U81" s="752"/>
      <c r="V81" s="135" t="s">
        <v>80</v>
      </c>
      <c r="W81" s="135" t="s">
        <v>207</v>
      </c>
      <c r="X81" s="798" t="s">
        <v>240</v>
      </c>
      <c r="Y81" s="799" t="s">
        <v>240</v>
      </c>
      <c r="Z81" s="575" t="str">
        <f>IFERROR(VLOOKUP(X81, 【参考】数式用!$A$2:$B$46, 2, FALSE), "")</f>
        <v>2B</v>
      </c>
      <c r="AA81" s="603">
        <v>1000000</v>
      </c>
      <c r="AB81" s="604">
        <v>250000</v>
      </c>
      <c r="AC81" s="605">
        <f t="shared" si="0"/>
        <v>750000</v>
      </c>
      <c r="AD81" s="617">
        <f>IF(B81="", "", IF(COUNTIF(X81,"*独自*"),"数式を削除して手入力",IFERROR(INDEX(【参考】数式用!$O$3:'【参考】数式用'!$Q$452,MATCH(Q81&amp;V81,【参考】数式用!$N$3:'【参考】数式用'!$N$452,0),MATCH(VLOOKUP(X81,【参考】数式用!$R$2:$S$46,2,FALSE),【参考】数式用!$O$2:$Q$2,0)),10)))</f>
        <v>10.9</v>
      </c>
      <c r="AE81" s="598" t="s">
        <v>47</v>
      </c>
      <c r="AF81" s="253"/>
      <c r="AG81" s="269"/>
    </row>
    <row r="82" spans="1:33" ht="50" customHeight="1">
      <c r="A82" s="252">
        <f t="shared" si="3"/>
        <v>42</v>
      </c>
      <c r="B82" s="772" t="s">
        <v>241</v>
      </c>
      <c r="C82" s="773"/>
      <c r="D82" s="773"/>
      <c r="E82" s="773"/>
      <c r="F82" s="773"/>
      <c r="G82" s="773"/>
      <c r="H82" s="773"/>
      <c r="I82" s="773"/>
      <c r="J82" s="773"/>
      <c r="K82" s="774"/>
      <c r="L82" s="760" t="s">
        <v>80</v>
      </c>
      <c r="M82" s="761"/>
      <c r="N82" s="761"/>
      <c r="O82" s="761"/>
      <c r="P82" s="762"/>
      <c r="Q82" s="752" t="s">
        <v>64</v>
      </c>
      <c r="R82" s="752"/>
      <c r="S82" s="752"/>
      <c r="T82" s="752"/>
      <c r="U82" s="752"/>
      <c r="V82" s="135" t="s">
        <v>80</v>
      </c>
      <c r="W82" s="135" t="s">
        <v>67</v>
      </c>
      <c r="X82" s="798" t="s">
        <v>242</v>
      </c>
      <c r="Y82" s="799" t="s">
        <v>242</v>
      </c>
      <c r="Z82" s="575" t="str">
        <f>IFERROR(VLOOKUP(X82, 【参考】数式用!$A$2:$B$46, 2, FALSE), "")</f>
        <v>A2</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50" customHeight="1">
      <c r="A83" s="252">
        <f t="shared" si="3"/>
        <v>43</v>
      </c>
      <c r="B83" s="772" t="s">
        <v>243</v>
      </c>
      <c r="C83" s="773"/>
      <c r="D83" s="773"/>
      <c r="E83" s="773"/>
      <c r="F83" s="773"/>
      <c r="G83" s="773"/>
      <c r="H83" s="773"/>
      <c r="I83" s="773"/>
      <c r="J83" s="773"/>
      <c r="K83" s="774"/>
      <c r="L83" s="760" t="s">
        <v>80</v>
      </c>
      <c r="M83" s="761"/>
      <c r="N83" s="761"/>
      <c r="O83" s="761"/>
      <c r="P83" s="762"/>
      <c r="Q83" s="752" t="s">
        <v>64</v>
      </c>
      <c r="R83" s="752"/>
      <c r="S83" s="752"/>
      <c r="T83" s="752"/>
      <c r="U83" s="752"/>
      <c r="V83" s="135" t="s">
        <v>80</v>
      </c>
      <c r="W83" s="135" t="s">
        <v>67</v>
      </c>
      <c r="X83" s="798" t="s">
        <v>244</v>
      </c>
      <c r="Y83" s="799" t="s">
        <v>244</v>
      </c>
      <c r="Z83" s="575" t="str">
        <f>IFERROR(VLOOKUP(X83, 【参考】数式用!$A$2:$B$46, 2, FALSE), "")</f>
        <v>A3</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50" customHeight="1">
      <c r="A84" s="252">
        <f t="shared" si="3"/>
        <v>44</v>
      </c>
      <c r="B84" s="772" t="s">
        <v>245</v>
      </c>
      <c r="C84" s="773"/>
      <c r="D84" s="773"/>
      <c r="E84" s="773"/>
      <c r="F84" s="773"/>
      <c r="G84" s="773"/>
      <c r="H84" s="773"/>
      <c r="I84" s="773"/>
      <c r="J84" s="773"/>
      <c r="K84" s="774"/>
      <c r="L84" s="760" t="s">
        <v>80</v>
      </c>
      <c r="M84" s="761"/>
      <c r="N84" s="761"/>
      <c r="O84" s="761"/>
      <c r="P84" s="762"/>
      <c r="Q84" s="752" t="s">
        <v>64</v>
      </c>
      <c r="R84" s="752"/>
      <c r="S84" s="752"/>
      <c r="T84" s="752"/>
      <c r="U84" s="752"/>
      <c r="V84" s="135" t="s">
        <v>80</v>
      </c>
      <c r="W84" s="135" t="s">
        <v>67</v>
      </c>
      <c r="X84" s="798" t="s">
        <v>246</v>
      </c>
      <c r="Y84" s="799" t="s">
        <v>246</v>
      </c>
      <c r="Z84" s="575" t="str">
        <f>IFERROR(VLOOKUP(X84, 【参考】数式用!$A$2:$B$46, 2, FALSE), "")</f>
        <v>A4</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50" customHeight="1">
      <c r="A85" s="252">
        <f t="shared" si="3"/>
        <v>45</v>
      </c>
      <c r="B85" s="779" t="s">
        <v>247</v>
      </c>
      <c r="C85" s="780"/>
      <c r="D85" s="780"/>
      <c r="E85" s="780"/>
      <c r="F85" s="780"/>
      <c r="G85" s="780"/>
      <c r="H85" s="780"/>
      <c r="I85" s="780"/>
      <c r="J85" s="780"/>
      <c r="K85" s="780"/>
      <c r="L85" s="760" t="s">
        <v>80</v>
      </c>
      <c r="M85" s="761"/>
      <c r="N85" s="761"/>
      <c r="O85" s="761"/>
      <c r="P85" s="762"/>
      <c r="Q85" s="752" t="s">
        <v>64</v>
      </c>
      <c r="R85" s="752"/>
      <c r="S85" s="752"/>
      <c r="T85" s="752"/>
      <c r="U85" s="752"/>
      <c r="V85" s="135" t="s">
        <v>80</v>
      </c>
      <c r="W85" s="135" t="s">
        <v>108</v>
      </c>
      <c r="X85" s="798" t="s">
        <v>248</v>
      </c>
      <c r="Y85" s="799" t="s">
        <v>248</v>
      </c>
      <c r="Z85" s="575" t="str">
        <f>IFERROR(VLOOKUP(X85, 【参考】数式用!$A$2:$B$46, 2, FALSE), "")</f>
        <v>A6</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50" customHeight="1">
      <c r="A86" s="252">
        <f t="shared" si="3"/>
        <v>46</v>
      </c>
      <c r="B86" s="779" t="s">
        <v>249</v>
      </c>
      <c r="C86" s="780"/>
      <c r="D86" s="780"/>
      <c r="E86" s="780"/>
      <c r="F86" s="780"/>
      <c r="G86" s="780"/>
      <c r="H86" s="780"/>
      <c r="I86" s="780"/>
      <c r="J86" s="780"/>
      <c r="K86" s="780"/>
      <c r="L86" s="760" t="s">
        <v>80</v>
      </c>
      <c r="M86" s="761"/>
      <c r="N86" s="761"/>
      <c r="O86" s="761"/>
      <c r="P86" s="762"/>
      <c r="Q86" s="752" t="s">
        <v>64</v>
      </c>
      <c r="R86" s="752"/>
      <c r="S86" s="752"/>
      <c r="T86" s="752"/>
      <c r="U86" s="752"/>
      <c r="V86" s="135" t="s">
        <v>80</v>
      </c>
      <c r="W86" s="135" t="s">
        <v>108</v>
      </c>
      <c r="X86" s="798" t="s">
        <v>250</v>
      </c>
      <c r="Y86" s="799" t="s">
        <v>250</v>
      </c>
      <c r="Z86" s="575" t="str">
        <f>IFERROR(VLOOKUP(X86, 【参考】数式用!$A$2:$B$46, 2, FALSE), "")</f>
        <v>A7</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50" customHeight="1">
      <c r="A87" s="252">
        <f t="shared" si="3"/>
        <v>47</v>
      </c>
      <c r="B87" s="779" t="s">
        <v>251</v>
      </c>
      <c r="C87" s="780"/>
      <c r="D87" s="780"/>
      <c r="E87" s="780"/>
      <c r="F87" s="780"/>
      <c r="G87" s="780"/>
      <c r="H87" s="780"/>
      <c r="I87" s="780"/>
      <c r="J87" s="780"/>
      <c r="K87" s="780"/>
      <c r="L87" s="760" t="s">
        <v>80</v>
      </c>
      <c r="M87" s="761"/>
      <c r="N87" s="761"/>
      <c r="O87" s="761"/>
      <c r="P87" s="762"/>
      <c r="Q87" s="752" t="s">
        <v>64</v>
      </c>
      <c r="R87" s="752"/>
      <c r="S87" s="752"/>
      <c r="T87" s="752"/>
      <c r="U87" s="752"/>
      <c r="V87" s="135" t="s">
        <v>80</v>
      </c>
      <c r="W87" s="135" t="s">
        <v>108</v>
      </c>
      <c r="X87" s="798" t="s">
        <v>252</v>
      </c>
      <c r="Y87" s="799" t="s">
        <v>252</v>
      </c>
      <c r="Z87" s="575" t="str">
        <f>IFERROR(VLOOKUP(X87, 【参考】数式用!$A$2:$B$46, 2, FALSE), "")</f>
        <v>A8</v>
      </c>
      <c r="AA87" s="603">
        <v>1000000</v>
      </c>
      <c r="AB87" s="604">
        <v>250000</v>
      </c>
      <c r="AC87" s="605">
        <f t="shared" si="0"/>
        <v>750000</v>
      </c>
      <c r="AD87" s="617" t="str">
        <f>IF(B87="", "", IF(COUNTIF(X87,"*独自*"),"数式を削除して手入力",IFERROR(INDEX(【参考】数式用!$O$3:'【参考】数式用'!$Q$452,MATCH(Q87&amp;V87,【参考】数式用!$N$3:'【参考】数式用'!$N$452,0),MATCH(VLOOKUP(X87,【参考】数式用!$R$2:$S$46,2,FALSE),【参考】数式用!$O$2:$Q$2,0)),10)))</f>
        <v>数式を削除して手入力</v>
      </c>
      <c r="AE87" s="598" t="s">
        <v>47</v>
      </c>
      <c r="AF87" s="253"/>
      <c r="AG87" s="269"/>
    </row>
    <row r="88" spans="1:33" ht="50" customHeight="1">
      <c r="A88" s="252">
        <f t="shared" si="3"/>
        <v>48</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50" customHeight="1">
      <c r="A89" s="252">
        <f t="shared" si="3"/>
        <v>49</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50" customHeight="1">
      <c r="A90" s="252">
        <f t="shared" si="3"/>
        <v>50</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50" customHeight="1">
      <c r="A91" s="252">
        <f t="shared" si="3"/>
        <v>51</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50" customHeight="1">
      <c r="A92" s="252">
        <f t="shared" si="3"/>
        <v>52</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50" customHeight="1">
      <c r="A93" s="252">
        <f t="shared" si="3"/>
        <v>53</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50" customHeight="1">
      <c r="A94" s="252">
        <f t="shared" si="3"/>
        <v>54</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50" customHeight="1">
      <c r="A95" s="252">
        <f t="shared" si="3"/>
        <v>55</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50" customHeight="1">
      <c r="A96" s="252">
        <f t="shared" si="3"/>
        <v>56</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50" customHeight="1">
      <c r="A97" s="252">
        <f t="shared" si="3"/>
        <v>57</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50" customHeight="1">
      <c r="A98" s="252">
        <f t="shared" si="3"/>
        <v>58</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50" customHeight="1">
      <c r="A99" s="252">
        <f t="shared" si="3"/>
        <v>59</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50" customHeight="1">
      <c r="A100" s="252">
        <f t="shared" si="3"/>
        <v>60</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50" customHeight="1">
      <c r="A101" s="252">
        <f t="shared" si="3"/>
        <v>61</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50" customHeight="1">
      <c r="A102" s="252">
        <f t="shared" si="3"/>
        <v>62</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50" customHeight="1">
      <c r="A103" s="252">
        <f t="shared" si="3"/>
        <v>63</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50" customHeight="1">
      <c r="A104" s="252">
        <f t="shared" si="3"/>
        <v>64</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50" customHeight="1">
      <c r="A105" s="252">
        <f t="shared" si="3"/>
        <v>65</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si="0"/>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50" customHeight="1">
      <c r="A106" s="252">
        <f t="shared" si="3"/>
        <v>66</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ref="AC106:AC139" si="4">AA106-AB106</f>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50" customHeight="1">
      <c r="A107" s="252">
        <f t="shared" ref="A107:A132" si="5">A106+1</f>
        <v>67</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50" customHeight="1">
      <c r="A108" s="252">
        <f t="shared" si="5"/>
        <v>68</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50" customHeight="1">
      <c r="A109" s="252">
        <f t="shared" si="5"/>
        <v>69</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50" customHeight="1">
      <c r="A110" s="252">
        <f t="shared" si="5"/>
        <v>70</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50" customHeight="1">
      <c r="A111" s="252">
        <f t="shared" si="5"/>
        <v>71</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50" customHeight="1">
      <c r="A112" s="252">
        <f t="shared" si="5"/>
        <v>72</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50" customHeight="1">
      <c r="A113" s="252">
        <f t="shared" si="5"/>
        <v>73</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50" customHeight="1">
      <c r="A114" s="252">
        <f t="shared" si="5"/>
        <v>74</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50" customHeight="1">
      <c r="A115" s="252">
        <f t="shared" si="5"/>
        <v>75</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50" customHeight="1">
      <c r="A116" s="252">
        <f t="shared" si="5"/>
        <v>76</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50" customHeight="1">
      <c r="A117" s="252">
        <f t="shared" si="5"/>
        <v>77</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50" customHeight="1">
      <c r="A118" s="252">
        <f t="shared" si="5"/>
        <v>78</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50" customHeight="1">
      <c r="A119" s="252">
        <f t="shared" si="5"/>
        <v>79</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50" customHeight="1">
      <c r="A120" s="252">
        <f t="shared" si="5"/>
        <v>80</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50" customHeight="1">
      <c r="A121" s="252">
        <f t="shared" si="5"/>
        <v>81</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50" customHeight="1">
      <c r="A122" s="252">
        <f t="shared" si="5"/>
        <v>82</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50" customHeight="1">
      <c r="A123" s="252">
        <f t="shared" si="5"/>
        <v>83</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50" customHeight="1">
      <c r="A124" s="252">
        <f t="shared" si="5"/>
        <v>84</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50" customHeight="1">
      <c r="A125" s="252">
        <f t="shared" si="5"/>
        <v>85</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50" customHeight="1">
      <c r="A126" s="252">
        <f t="shared" si="5"/>
        <v>86</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50" customHeight="1">
      <c r="A127" s="252">
        <f t="shared" si="5"/>
        <v>87</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50" customHeight="1">
      <c r="A128" s="252">
        <f t="shared" si="5"/>
        <v>88</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50" customHeight="1">
      <c r="A129" s="252">
        <f t="shared" si="5"/>
        <v>89</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50" customHeight="1">
      <c r="A130" s="252">
        <f t="shared" si="5"/>
        <v>90</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50" customHeight="1">
      <c r="A131" s="252">
        <f t="shared" si="5"/>
        <v>91</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50" customHeight="1">
      <c r="A132" s="252">
        <f t="shared" si="5"/>
        <v>92</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50" customHeight="1">
      <c r="A133" s="252">
        <f t="shared" ref="A133:A138" si="6">A132+1</f>
        <v>93</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50" customHeight="1">
      <c r="A134" s="252">
        <f t="shared" si="6"/>
        <v>94</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50" customHeight="1">
      <c r="A135" s="252">
        <f t="shared" si="6"/>
        <v>95</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50" customHeight="1">
      <c r="A136" s="252">
        <f t="shared" si="6"/>
        <v>96</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50" customHeight="1">
      <c r="A137" s="252">
        <f t="shared" si="6"/>
        <v>97</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50" customHeight="1">
      <c r="A138" s="252">
        <f t="shared" si="6"/>
        <v>98</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50" customHeight="1">
      <c r="A139" s="252">
        <f>A138+1</f>
        <v>99</v>
      </c>
      <c r="B139" s="779"/>
      <c r="C139" s="780"/>
      <c r="D139" s="780"/>
      <c r="E139" s="780"/>
      <c r="F139" s="780"/>
      <c r="G139" s="780"/>
      <c r="H139" s="780"/>
      <c r="I139" s="780"/>
      <c r="J139" s="780"/>
      <c r="K139" s="780"/>
      <c r="L139" s="760"/>
      <c r="M139" s="761"/>
      <c r="N139" s="761"/>
      <c r="O139" s="761"/>
      <c r="P139" s="762"/>
      <c r="Q139" s="752"/>
      <c r="R139" s="752"/>
      <c r="S139" s="752"/>
      <c r="T139" s="752"/>
      <c r="U139" s="752"/>
      <c r="V139" s="135"/>
      <c r="W139" s="135"/>
      <c r="X139" s="798"/>
      <c r="Y139" s="799"/>
      <c r="Z139" s="575" t="str">
        <f>IFERROR(VLOOKUP(X139, 【参考】数式用!$A$2:$B$46, 2, FALSE), "")</f>
        <v/>
      </c>
      <c r="AA139" s="603"/>
      <c r="AB139" s="604"/>
      <c r="AC139" s="605">
        <f t="shared" si="4"/>
        <v>0</v>
      </c>
      <c r="AD139" s="617" t="str">
        <f>IF(B139="", "", IF(COUNTIF(X139,"*独自*"),"数式を削除して手入力",IFERROR(INDEX(【参考】数式用!$O$3:'【参考】数式用'!$Q$452,MATCH(Q139&amp;V139,【参考】数式用!$N$3:'【参考】数式用'!$N$452,0),MATCH(VLOOKUP(X139,【参考】数式用!$R$2:$S$46,2,FALSE),【参考】数式用!$O$2:$Q$2,0)),10)))</f>
        <v/>
      </c>
      <c r="AE139" s="598"/>
      <c r="AF139" s="253"/>
      <c r="AG139" s="269"/>
    </row>
    <row r="140" spans="1:33" ht="50" customHeight="1" thickBot="1">
      <c r="A140" s="684">
        <f>A139+1</f>
        <v>100</v>
      </c>
      <c r="B140" s="781"/>
      <c r="C140" s="782"/>
      <c r="D140" s="782"/>
      <c r="E140" s="782"/>
      <c r="F140" s="782"/>
      <c r="G140" s="782"/>
      <c r="H140" s="782"/>
      <c r="I140" s="782"/>
      <c r="J140" s="782"/>
      <c r="K140" s="782"/>
      <c r="L140" s="776"/>
      <c r="M140" s="777"/>
      <c r="N140" s="777"/>
      <c r="O140" s="777"/>
      <c r="P140" s="778"/>
      <c r="Q140" s="751"/>
      <c r="R140" s="751"/>
      <c r="S140" s="751"/>
      <c r="T140" s="751"/>
      <c r="U140" s="751"/>
      <c r="V140" s="136"/>
      <c r="W140" s="136"/>
      <c r="X140" s="803"/>
      <c r="Y140" s="804"/>
      <c r="Z140" s="577" t="str">
        <f>IFERROR(VLOOKUP(X140, 【参考】数式用!$A$2:$B$46, 2, FALSE), "")</f>
        <v/>
      </c>
      <c r="AA140" s="607"/>
      <c r="AB140" s="608"/>
      <c r="AC140" s="609">
        <f>AA140-AB140</f>
        <v>0</v>
      </c>
      <c r="AD140" s="685" t="str">
        <f>IF(B140="", "", IF(COUNTIF(X140,"*独自*"),"数式を削除して手入力",IFERROR(INDEX(【参考】数式用!$O$3:'【参考】数式用'!$Q$452,MATCH(Q140&amp;V140,【参考】数式用!$N$3:'【参考】数式用'!$N$452,0),MATCH(VLOOKUP(X140,【参考】数式用!$R$2:$S$46,2,FALSE),【参考】数式用!$O$2:$Q$2,0)),10)))</f>
        <v/>
      </c>
      <c r="AE140" s="599"/>
      <c r="AF140" s="253"/>
      <c r="AG140" s="269"/>
    </row>
    <row r="141" spans="1:33" ht="20.25" customHeight="1">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row>
    <row r="142" spans="1:33" ht="20.25" customHeight="1">
      <c r="A142" s="270"/>
      <c r="B142" s="775"/>
      <c r="C142" s="775"/>
      <c r="D142" s="775"/>
      <c r="E142" s="775"/>
      <c r="F142" s="775"/>
      <c r="G142" s="775"/>
      <c r="H142" s="775"/>
      <c r="I142" s="775"/>
      <c r="J142" s="775"/>
      <c r="K142" s="775"/>
      <c r="L142" s="775"/>
      <c r="M142" s="775"/>
      <c r="N142" s="775"/>
      <c r="O142" s="775"/>
      <c r="P142" s="775"/>
      <c r="Q142" s="775"/>
      <c r="R142" s="775"/>
      <c r="S142" s="775"/>
      <c r="T142" s="775"/>
      <c r="U142" s="775"/>
      <c r="V142" s="775"/>
      <c r="W142" s="775"/>
      <c r="X142" s="775"/>
      <c r="Y142" s="775"/>
      <c r="Z142" s="775"/>
      <c r="AA142" s="67"/>
      <c r="AB142" s="67"/>
      <c r="AC142" s="67"/>
      <c r="AD142" s="67"/>
    </row>
    <row r="143" spans="1:33" ht="20.25"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49999999999999"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49999999999999"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49999999999999"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49999999999999"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49999999999999"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49999999999999"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49999999999999"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49999999999999"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49999999999999"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49999999999999"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49999999999999"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49999999999999"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49999999999999"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49999999999999"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49999999999999"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49999999999999"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49999999999999"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49999999999999"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49999999999999"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49999999999999"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49999999999999"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49999999999999"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49999999999999"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49999999999999"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49999999999999"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49999999999999"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49999999999999"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49999999999999"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49999999999999"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49999999999999"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49999999999999"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49999999999999"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49999999999999"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49999999999999"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49999999999999"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49999999999999"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49999999999999"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49999999999999"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49999999999999"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49999999999999"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49999999999999"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49999999999999"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49999999999999"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49999999999999"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49999999999999"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49999999999999"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49999999999999"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49999999999999"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49999999999999"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49999999999999"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49999999999999"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49999999999999"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49999999999999"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49999999999999"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49999999999999"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49999999999999"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49999999999999"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49999999999999"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49999999999999"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49999999999999"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49999999999999"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49999999999999"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49999999999999"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49999999999999"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49999999999999"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49999999999999"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49999999999999"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49999999999999"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49999999999999"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49999999999999"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49999999999999"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49999999999999"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49999999999999"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49999999999999"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49999999999999"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49999999999999"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49999999999999"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49999999999999"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49999999999999"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49999999999999"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49999999999999"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49999999999999"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49999999999999"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49999999999999"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49999999999999"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49999999999999"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49999999999999"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49999999999999"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49999999999999"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49999999999999"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49999999999999"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row r="235" spans="1:30" ht="20.149999999999999" customHeight="1">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c r="AA235" s="67"/>
      <c r="AB235" s="67"/>
      <c r="AC235" s="67"/>
      <c r="AD235" s="67"/>
    </row>
  </sheetData>
  <sheetProtection algorithmName="SHA-512" hashValue="pPUY607zHjADs6ObGj4v8bbj4UwgyLu+qr5wQpv/UxDZ3xvAztur8C6yK/0NOJ6yNygmHkuz41EzEZ/QhZ90sQ==" saltValue="nqrfOVNAVWVQZul519pd/g==" spinCount="100000" sheet="1" sort="0" autoFilter="0"/>
  <dataConsolidate/>
  <mergeCells count="491">
    <mergeCell ref="B32:K32"/>
    <mergeCell ref="L32:X32"/>
    <mergeCell ref="X139:Y139"/>
    <mergeCell ref="X140:Y140"/>
    <mergeCell ref="AG37:AK40"/>
    <mergeCell ref="X130:Y130"/>
    <mergeCell ref="X131:Y131"/>
    <mergeCell ref="X132:Y132"/>
    <mergeCell ref="X133:Y133"/>
    <mergeCell ref="X134:Y134"/>
    <mergeCell ref="X135:Y135"/>
    <mergeCell ref="X136:Y136"/>
    <mergeCell ref="X137:Y137"/>
    <mergeCell ref="X138:Y138"/>
    <mergeCell ref="X121:Y121"/>
    <mergeCell ref="X122:Y122"/>
    <mergeCell ref="X123:Y123"/>
    <mergeCell ref="X124:Y124"/>
    <mergeCell ref="X125:Y125"/>
    <mergeCell ref="X126:Y126"/>
    <mergeCell ref="X127:Y127"/>
    <mergeCell ref="X128:Y128"/>
    <mergeCell ref="X129:Y129"/>
    <mergeCell ref="X112:Y112"/>
    <mergeCell ref="X113:Y113"/>
    <mergeCell ref="X100:Y100"/>
    <mergeCell ref="X101:Y101"/>
    <mergeCell ref="X102:Y102"/>
    <mergeCell ref="X115:Y115"/>
    <mergeCell ref="X116:Y116"/>
    <mergeCell ref="X117:Y117"/>
    <mergeCell ref="X118:Y118"/>
    <mergeCell ref="X119:Y119"/>
    <mergeCell ref="A36:AE36"/>
    <mergeCell ref="X120:Y120"/>
    <mergeCell ref="X103:Y103"/>
    <mergeCell ref="X104:Y104"/>
    <mergeCell ref="X105:Y105"/>
    <mergeCell ref="X106:Y106"/>
    <mergeCell ref="X107:Y107"/>
    <mergeCell ref="X108:Y108"/>
    <mergeCell ref="X109:Y109"/>
    <mergeCell ref="X110:Y110"/>
    <mergeCell ref="X111:Y111"/>
    <mergeCell ref="X114:Y114"/>
    <mergeCell ref="X91:Y91"/>
    <mergeCell ref="X92:Y92"/>
    <mergeCell ref="X93:Y93"/>
    <mergeCell ref="X94:Y94"/>
    <mergeCell ref="X95:Y95"/>
    <mergeCell ref="X96:Y96"/>
    <mergeCell ref="X97:Y97"/>
    <mergeCell ref="X98:Y98"/>
    <mergeCell ref="X99:Y99"/>
    <mergeCell ref="X82:Y82"/>
    <mergeCell ref="X83:Y83"/>
    <mergeCell ref="X84:Y84"/>
    <mergeCell ref="X85:Y85"/>
    <mergeCell ref="X86:Y86"/>
    <mergeCell ref="X87:Y87"/>
    <mergeCell ref="X88:Y88"/>
    <mergeCell ref="X89:Y89"/>
    <mergeCell ref="X90:Y90"/>
    <mergeCell ref="X73:Y73"/>
    <mergeCell ref="X74:Y74"/>
    <mergeCell ref="X75:Y75"/>
    <mergeCell ref="X76:Y76"/>
    <mergeCell ref="X77:Y77"/>
    <mergeCell ref="X78:Y78"/>
    <mergeCell ref="X79:Y79"/>
    <mergeCell ref="X80:Y80"/>
    <mergeCell ref="X81:Y81"/>
    <mergeCell ref="X64:Y64"/>
    <mergeCell ref="X65:Y65"/>
    <mergeCell ref="X66:Y66"/>
    <mergeCell ref="X67:Y67"/>
    <mergeCell ref="X68:Y68"/>
    <mergeCell ref="X69:Y69"/>
    <mergeCell ref="X70:Y70"/>
    <mergeCell ref="X71:Y71"/>
    <mergeCell ref="X72:Y72"/>
    <mergeCell ref="X55:Y55"/>
    <mergeCell ref="X56:Y56"/>
    <mergeCell ref="X57:Y57"/>
    <mergeCell ref="X58:Y58"/>
    <mergeCell ref="X59:Y59"/>
    <mergeCell ref="X60:Y60"/>
    <mergeCell ref="X61:Y61"/>
    <mergeCell ref="X62:Y62"/>
    <mergeCell ref="X63:Y63"/>
    <mergeCell ref="X46:Y46"/>
    <mergeCell ref="X47:Y47"/>
    <mergeCell ref="X48:Y48"/>
    <mergeCell ref="X49:Y49"/>
    <mergeCell ref="X50:Y50"/>
    <mergeCell ref="X51:Y51"/>
    <mergeCell ref="X52:Y52"/>
    <mergeCell ref="X53:Y53"/>
    <mergeCell ref="X54:Y54"/>
    <mergeCell ref="AG65:AG66"/>
    <mergeCell ref="AK65:AK66"/>
    <mergeCell ref="AG67:AG68"/>
    <mergeCell ref="AK67:AK68"/>
    <mergeCell ref="AG69:AG70"/>
    <mergeCell ref="AK69:AK70"/>
    <mergeCell ref="AG71:AG72"/>
    <mergeCell ref="AK71:AK72"/>
    <mergeCell ref="AG73:AG74"/>
    <mergeCell ref="AK73:AK74"/>
    <mergeCell ref="AG51:AG52"/>
    <mergeCell ref="AK51:AK52"/>
    <mergeCell ref="AG53:AG56"/>
    <mergeCell ref="AK53:AK56"/>
    <mergeCell ref="AG57:AG58"/>
    <mergeCell ref="AK57:AK58"/>
    <mergeCell ref="AG59:AG62"/>
    <mergeCell ref="AK59:AK62"/>
    <mergeCell ref="AG63:AG64"/>
    <mergeCell ref="AK63:AK64"/>
    <mergeCell ref="AG42:AG43"/>
    <mergeCell ref="AK42:AK43"/>
    <mergeCell ref="AG44:AG45"/>
    <mergeCell ref="AK44:AK45"/>
    <mergeCell ref="AG46:AG48"/>
    <mergeCell ref="AK46:AK48"/>
    <mergeCell ref="AG49:AG50"/>
    <mergeCell ref="AK49:AK50"/>
    <mergeCell ref="A37:AD37"/>
    <mergeCell ref="A39:A40"/>
    <mergeCell ref="Q42:U42"/>
    <mergeCell ref="B39:K40"/>
    <mergeCell ref="Q40:U40"/>
    <mergeCell ref="L39:P40"/>
    <mergeCell ref="Q48:U48"/>
    <mergeCell ref="Q44:U44"/>
    <mergeCell ref="AE39:AE40"/>
    <mergeCell ref="X39:Y40"/>
    <mergeCell ref="X41:Y41"/>
    <mergeCell ref="X42:Y42"/>
    <mergeCell ref="X43:Y43"/>
    <mergeCell ref="X44:Y44"/>
    <mergeCell ref="X45:Y45"/>
    <mergeCell ref="B41:K41"/>
    <mergeCell ref="Q55:U55"/>
    <mergeCell ref="Q56:U56"/>
    <mergeCell ref="Q50:U50"/>
    <mergeCell ref="Q51:U51"/>
    <mergeCell ref="L90:P90"/>
    <mergeCell ref="L91:P91"/>
    <mergeCell ref="B67:K67"/>
    <mergeCell ref="B68:K68"/>
    <mergeCell ref="B69:K69"/>
    <mergeCell ref="B70:K70"/>
    <mergeCell ref="B73:K73"/>
    <mergeCell ref="B74:K74"/>
    <mergeCell ref="B65:K65"/>
    <mergeCell ref="B66:K66"/>
    <mergeCell ref="L64:P64"/>
    <mergeCell ref="L58:P58"/>
    <mergeCell ref="L60:P60"/>
    <mergeCell ref="L61:P61"/>
    <mergeCell ref="L71:P71"/>
    <mergeCell ref="B58:K58"/>
    <mergeCell ref="Q58:U58"/>
    <mergeCell ref="Q60:U60"/>
    <mergeCell ref="Q65:U65"/>
    <mergeCell ref="Q63:U63"/>
    <mergeCell ref="Q61:U61"/>
    <mergeCell ref="B77:K77"/>
    <mergeCell ref="B78:K78"/>
    <mergeCell ref="B79:K79"/>
    <mergeCell ref="B80:K80"/>
    <mergeCell ref="L76:P76"/>
    <mergeCell ref="L80:P80"/>
    <mergeCell ref="B64:K64"/>
    <mergeCell ref="B61:K61"/>
    <mergeCell ref="B75:K75"/>
    <mergeCell ref="Q68:U68"/>
    <mergeCell ref="Q67:U67"/>
    <mergeCell ref="Q66:U66"/>
    <mergeCell ref="B76:K76"/>
    <mergeCell ref="B81:K81"/>
    <mergeCell ref="B82:K82"/>
    <mergeCell ref="B83:K83"/>
    <mergeCell ref="B84:K84"/>
    <mergeCell ref="B85:K85"/>
    <mergeCell ref="B90:K90"/>
    <mergeCell ref="B91:K91"/>
    <mergeCell ref="B109:K109"/>
    <mergeCell ref="B110:K110"/>
    <mergeCell ref="B105:K105"/>
    <mergeCell ref="B106:K106"/>
    <mergeCell ref="B107:K107"/>
    <mergeCell ref="B108:K108"/>
    <mergeCell ref="B92:K92"/>
    <mergeCell ref="B93:K93"/>
    <mergeCell ref="B86:K86"/>
    <mergeCell ref="B87:K87"/>
    <mergeCell ref="B88:K88"/>
    <mergeCell ref="B89:K89"/>
    <mergeCell ref="B111:K111"/>
    <mergeCell ref="B112:K112"/>
    <mergeCell ref="B113:K113"/>
    <mergeCell ref="B127:K127"/>
    <mergeCell ref="B128:K128"/>
    <mergeCell ref="B126:K126"/>
    <mergeCell ref="B125:K125"/>
    <mergeCell ref="B122:K122"/>
    <mergeCell ref="B123:K123"/>
    <mergeCell ref="B121:K121"/>
    <mergeCell ref="B114:K114"/>
    <mergeCell ref="B115:K115"/>
    <mergeCell ref="B116:K116"/>
    <mergeCell ref="L138:P138"/>
    <mergeCell ref="B124:K124"/>
    <mergeCell ref="L127:P127"/>
    <mergeCell ref="L137:P137"/>
    <mergeCell ref="B129:K129"/>
    <mergeCell ref="B130:K130"/>
    <mergeCell ref="B140:K14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52:P52"/>
    <mergeCell ref="L53:P53"/>
    <mergeCell ref="L49:P49"/>
    <mergeCell ref="L82:P82"/>
    <mergeCell ref="L79:P79"/>
    <mergeCell ref="L125:P125"/>
    <mergeCell ref="L126:P126"/>
    <mergeCell ref="L121:P121"/>
    <mergeCell ref="L122:P122"/>
    <mergeCell ref="L115:P115"/>
    <mergeCell ref="L116:P116"/>
    <mergeCell ref="L123:P123"/>
    <mergeCell ref="L124:P124"/>
    <mergeCell ref="L117:P117"/>
    <mergeCell ref="L118:P118"/>
    <mergeCell ref="L119:P119"/>
    <mergeCell ref="B59:K59"/>
    <mergeCell ref="B60:K60"/>
    <mergeCell ref="L62:P62"/>
    <mergeCell ref="L63:P63"/>
    <mergeCell ref="L92:P92"/>
    <mergeCell ref="L93:P93"/>
    <mergeCell ref="L75:P75"/>
    <mergeCell ref="L108:P108"/>
    <mergeCell ref="L120:P120"/>
    <mergeCell ref="B117:K117"/>
    <mergeCell ref="B118:K118"/>
    <mergeCell ref="B119:K119"/>
    <mergeCell ref="B120:K120"/>
    <mergeCell ref="B104:K104"/>
    <mergeCell ref="L70:P70"/>
    <mergeCell ref="L83:P83"/>
    <mergeCell ref="L84:P84"/>
    <mergeCell ref="L85:P85"/>
    <mergeCell ref="L86:P86"/>
    <mergeCell ref="L72:P72"/>
    <mergeCell ref="L65:P65"/>
    <mergeCell ref="L66:P66"/>
    <mergeCell ref="L67:P67"/>
    <mergeCell ref="L114:P114"/>
    <mergeCell ref="Q117:U117"/>
    <mergeCell ref="Q104:U104"/>
    <mergeCell ref="Q103:U103"/>
    <mergeCell ref="B71:K71"/>
    <mergeCell ref="B72:K72"/>
    <mergeCell ref="L59:P59"/>
    <mergeCell ref="B62:K62"/>
    <mergeCell ref="B63:K63"/>
    <mergeCell ref="L73:P73"/>
    <mergeCell ref="L74:P74"/>
    <mergeCell ref="B94:K94"/>
    <mergeCell ref="B95:K95"/>
    <mergeCell ref="B96:K96"/>
    <mergeCell ref="B97:K97"/>
    <mergeCell ref="B98:K98"/>
    <mergeCell ref="B99:K99"/>
    <mergeCell ref="B100:K100"/>
    <mergeCell ref="B101:K101"/>
    <mergeCell ref="B102:K102"/>
    <mergeCell ref="B103:K103"/>
    <mergeCell ref="L89:P89"/>
    <mergeCell ref="Q80:U80"/>
    <mergeCell ref="L107:P107"/>
    <mergeCell ref="L69:P69"/>
    <mergeCell ref="B142:Z142"/>
    <mergeCell ref="Q62:U62"/>
    <mergeCell ref="Q139:U139"/>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L140:P140"/>
    <mergeCell ref="L68:P68"/>
    <mergeCell ref="Q99:U99"/>
    <mergeCell ref="Q64:U64"/>
    <mergeCell ref="Q118:U118"/>
    <mergeCell ref="Q116:U116"/>
    <mergeCell ref="Q115:U115"/>
    <mergeCell ref="Q114:U114"/>
    <mergeCell ref="Q113:U113"/>
    <mergeCell ref="Q112:U112"/>
    <mergeCell ref="Q111:U111"/>
    <mergeCell ref="Q110:U110"/>
    <mergeCell ref="Q90:U90"/>
    <mergeCell ref="L97:P97"/>
    <mergeCell ref="L98:P98"/>
    <mergeCell ref="Q109:U109"/>
    <mergeCell ref="Q108:U108"/>
    <mergeCell ref="Q105:U105"/>
    <mergeCell ref="Q106:U106"/>
    <mergeCell ref="L109:P109"/>
    <mergeCell ref="L110:P110"/>
    <mergeCell ref="L111:P111"/>
    <mergeCell ref="L112:P112"/>
    <mergeCell ref="L113:P113"/>
    <mergeCell ref="B57:K57"/>
    <mergeCell ref="Q43:U43"/>
    <mergeCell ref="B44:K44"/>
    <mergeCell ref="B45:K45"/>
    <mergeCell ref="B46:K46"/>
    <mergeCell ref="B47:K47"/>
    <mergeCell ref="B48:K48"/>
    <mergeCell ref="Q52:U52"/>
    <mergeCell ref="B54:K54"/>
    <mergeCell ref="Q57:U57"/>
    <mergeCell ref="L55:P55"/>
    <mergeCell ref="L56:P56"/>
    <mergeCell ref="L57:P57"/>
    <mergeCell ref="B49:K49"/>
    <mergeCell ref="B50:K50"/>
    <mergeCell ref="B51:K51"/>
    <mergeCell ref="B52:K52"/>
    <mergeCell ref="B53:K53"/>
    <mergeCell ref="B55:K55"/>
    <mergeCell ref="L50:P50"/>
    <mergeCell ref="L51:P51"/>
    <mergeCell ref="L43:P43"/>
    <mergeCell ref="B56:K56"/>
    <mergeCell ref="L48:P48"/>
    <mergeCell ref="B42:K42"/>
    <mergeCell ref="B43:K43"/>
    <mergeCell ref="Q46:U46"/>
    <mergeCell ref="Q47:U47"/>
    <mergeCell ref="L46:P46"/>
    <mergeCell ref="L45:P45"/>
    <mergeCell ref="L44:P44"/>
    <mergeCell ref="L47:P47"/>
    <mergeCell ref="Q41:U41"/>
    <mergeCell ref="Q83:U83"/>
    <mergeCell ref="Q76:U76"/>
    <mergeCell ref="Q75:U75"/>
    <mergeCell ref="Q100:U100"/>
    <mergeCell ref="Q102:U102"/>
    <mergeCell ref="Q101:U101"/>
    <mergeCell ref="AD39:AD40"/>
    <mergeCell ref="Q54:U54"/>
    <mergeCell ref="Q39:V39"/>
    <mergeCell ref="Q45:U45"/>
    <mergeCell ref="AA39:AA40"/>
    <mergeCell ref="W39:W40"/>
    <mergeCell ref="Q53:U53"/>
    <mergeCell ref="Q49:U49"/>
    <mergeCell ref="Q78:U78"/>
    <mergeCell ref="AB39:AB40"/>
    <mergeCell ref="AC39:AC40"/>
    <mergeCell ref="Q59:U59"/>
    <mergeCell ref="Q74:U74"/>
    <mergeCell ref="Q79:U79"/>
    <mergeCell ref="Q82:U82"/>
    <mergeCell ref="Q81:U81"/>
    <mergeCell ref="Q69:U69"/>
    <mergeCell ref="Q70:U70"/>
    <mergeCell ref="L28:V28"/>
    <mergeCell ref="Z39:Z40"/>
    <mergeCell ref="L41:P41"/>
    <mergeCell ref="L42:P42"/>
    <mergeCell ref="L54:P54"/>
    <mergeCell ref="L105:P105"/>
    <mergeCell ref="L106:P106"/>
    <mergeCell ref="L103:P103"/>
    <mergeCell ref="L104:P104"/>
    <mergeCell ref="L78:P78"/>
    <mergeCell ref="L77:P77"/>
    <mergeCell ref="Q77:U77"/>
    <mergeCell ref="L94:P94"/>
    <mergeCell ref="L95:P95"/>
    <mergeCell ref="L87:P87"/>
    <mergeCell ref="L88:P88"/>
    <mergeCell ref="L81:P81"/>
    <mergeCell ref="L99:P99"/>
    <mergeCell ref="L100:P100"/>
    <mergeCell ref="L101:P101"/>
    <mergeCell ref="L102:P102"/>
    <mergeCell ref="L96:P96"/>
    <mergeCell ref="Q85:U85"/>
    <mergeCell ref="Q84:U84"/>
    <mergeCell ref="Q140:U140"/>
    <mergeCell ref="Q89:U89"/>
    <mergeCell ref="Q88:U88"/>
    <mergeCell ref="Q87:U87"/>
    <mergeCell ref="Q86:U86"/>
    <mergeCell ref="Q73:U73"/>
    <mergeCell ref="Q72:U72"/>
    <mergeCell ref="Q71:U71"/>
    <mergeCell ref="Q98:U98"/>
    <mergeCell ref="Q97:U97"/>
    <mergeCell ref="Q96:U96"/>
    <mergeCell ref="Q95:U95"/>
    <mergeCell ref="Q94:U94"/>
    <mergeCell ref="Q93:U93"/>
    <mergeCell ref="Q92:U92"/>
    <mergeCell ref="Q91:U91"/>
    <mergeCell ref="Q107:U107"/>
    <mergeCell ref="Q125:U125"/>
    <mergeCell ref="Q124:U124"/>
    <mergeCell ref="Q123:U123"/>
    <mergeCell ref="Q122:U122"/>
    <mergeCell ref="Q121:U121"/>
    <mergeCell ref="Q120:U120"/>
    <mergeCell ref="Q119:U119"/>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3"/>
    <mergeCell ref="B27:K27"/>
    <mergeCell ref="A26:A27"/>
    <mergeCell ref="B33:K33"/>
    <mergeCell ref="B29:K29"/>
    <mergeCell ref="B31:K31"/>
    <mergeCell ref="L31:X31"/>
    <mergeCell ref="L33:X33"/>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1:AD140">
    <cfRule type="expression" dxfId="64" priority="1">
      <formula>$AD41="数式を削除して手入力"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1:K140">
      <formula1>10</formula1>
    </dataValidation>
    <dataValidation type="list" allowBlank="1" showInputMessage="1" showErrorMessage="1" sqref="V41:V140">
      <formula1>INDIRECT(Q41)</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1:AE140">
      <formula1>"○,×"</formula1>
    </dataValidation>
  </dataValidations>
  <pageMargins left="0.7" right="0.7" top="0.75" bottom="0.75" header="0.3" footer="0.3"/>
  <pageSetup paperSize="9" scale="75" fitToHeight="0" orientation="portrait" r:id="rId1"/>
  <rowBreaks count="1" manualBreakCount="1">
    <brk id="33"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AE37</xm:sqref>
        </x14:dataValidation>
        <x14:dataValidation type="list" allowBlank="1" showInputMessage="1" showErrorMessage="1">
          <x14:formula1>
            <xm:f>【参考】数式用!$A$3:$A$46</xm:f>
          </x14:formula1>
          <xm:sqref>X41:X140</xm:sqref>
        </x14:dataValidation>
        <x14:dataValidation type="list" allowBlank="1" showInputMessage="1" showErrorMessage="1">
          <x14:formula1>
            <xm:f>【参考】数式用!$E$3:$E$50</xm:f>
          </x14:formula1>
          <xm:sqref>AA16:AE16 Q41:U140</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F169"/>
  <sheetViews>
    <sheetView view="pageBreakPreview" zoomScale="130" zoomScaleNormal="120" zoomScaleSheetLayoutView="130" zoomScalePageLayoutView="64" workbookViewId="0"/>
  </sheetViews>
  <sheetFormatPr defaultColWidth="2.6328125" defaultRowHeight="13"/>
  <cols>
    <col min="1" max="1" width="2.08984375" customWidth="1"/>
    <col min="2" max="2" width="3.08984375" customWidth="1"/>
    <col min="3" max="4" width="2.453125" customWidth="1"/>
    <col min="5" max="5" width="3" customWidth="1"/>
    <col min="6" max="14" width="2.453125" customWidth="1"/>
    <col min="15" max="15" width="1.54296875" customWidth="1"/>
    <col min="16" max="16" width="3.453125" customWidth="1"/>
    <col min="17" max="18" width="2.453125" customWidth="1"/>
    <col min="19" max="19" width="3.54296875" customWidth="1"/>
    <col min="20" max="28" width="2.453125" customWidth="1"/>
    <col min="29" max="29" width="3.36328125" customWidth="1"/>
    <col min="30" max="30" width="4.6328125" customWidth="1"/>
    <col min="31" max="35" width="2.453125" customWidth="1"/>
    <col min="36" max="36" width="4.36328125" customWidth="1"/>
    <col min="37" max="37" width="6.36328125" customWidth="1"/>
    <col min="38" max="38" width="2.453125" customWidth="1"/>
    <col min="39" max="39" width="7.453125" customWidth="1"/>
    <col min="40" max="40" width="8.08984375" customWidth="1"/>
    <col min="41" max="41" width="5.453125" customWidth="1"/>
    <col min="42" max="42" width="6" customWidth="1"/>
    <col min="43" max="43" width="7.54296875" customWidth="1"/>
    <col min="44" max="44" width="9.36328125" customWidth="1"/>
    <col min="45" max="45" width="5.6328125" customWidth="1"/>
    <col min="46" max="46" width="8.453125" customWidth="1"/>
    <col min="47" max="47" width="8" customWidth="1"/>
    <col min="48" max="48" width="6" customWidth="1"/>
    <col min="49" max="49" width="7.54296875" customWidth="1"/>
    <col min="50" max="50" width="4.90625" customWidth="1"/>
    <col min="51" max="51" width="6.6328125" customWidth="1"/>
    <col min="52" max="52" width="6.54296875" customWidth="1"/>
    <col min="53" max="53" width="9.453125" hidden="1" customWidth="1"/>
    <col min="54" max="54" width="9.36328125" hidden="1" customWidth="1"/>
    <col min="55" max="58" width="4.08984375" hidden="1" customWidth="1"/>
    <col min="59" max="59" width="9.90625" customWidth="1"/>
    <col min="60" max="60" width="9.453125" customWidth="1"/>
    <col min="61" max="63" width="4.08984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254</v>
      </c>
      <c r="AD1" s="937"/>
      <c r="AE1" s="937"/>
      <c r="AF1" s="936" t="str">
        <f>IF(基本情報入力シート!V16="", "", 基本情報入力シート!V16)</f>
        <v>東京都</v>
      </c>
      <c r="AG1" s="937"/>
      <c r="AH1" s="937"/>
      <c r="AI1" s="937"/>
      <c r="AJ1" s="937"/>
      <c r="AK1" s="962"/>
      <c r="AL1" s="61"/>
      <c r="AM1" s="61"/>
      <c r="AN1" s="61"/>
      <c r="AO1" s="61"/>
      <c r="AP1" s="61"/>
      <c r="AQ1" s="61"/>
      <c r="AR1" s="61"/>
      <c r="AS1" s="61"/>
      <c r="AT1" s="61"/>
      <c r="AU1" s="61"/>
      <c r="AV1" s="61"/>
      <c r="AW1" s="61"/>
      <c r="AX1" s="61"/>
      <c r="AY1" s="61"/>
      <c r="BA1" s="836" t="s">
        <v>255</v>
      </c>
      <c r="BB1" s="836"/>
      <c r="BC1" s="836"/>
      <c r="BD1" s="836"/>
      <c r="BE1" s="836"/>
    </row>
    <row r="2" spans="1:57" ht="4.25"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加算様式を指定権者に提出</v>
      </c>
      <c r="BB2" s="836"/>
      <c r="BC2" s="836"/>
      <c r="BD2" s="836"/>
      <c r="BE2" s="836"/>
    </row>
    <row r="3" spans="1:57" ht="18.649999999999999" customHeight="1">
      <c r="A3" s="61"/>
      <c r="B3" s="963" t="s">
        <v>256</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5"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16</v>
      </c>
      <c r="C6" s="965"/>
      <c r="D6" s="965"/>
      <c r="E6" s="965"/>
      <c r="F6" s="965"/>
      <c r="G6" s="966"/>
      <c r="H6" s="958" t="str">
        <f>IF(基本情報入力シート!L21="","",基本情報入力シート!L21)</f>
        <v>○○ケアサービス</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258</v>
      </c>
      <c r="C7" s="968"/>
      <c r="D7" s="968"/>
      <c r="E7" s="968"/>
      <c r="F7" s="968"/>
      <c r="G7" s="969"/>
      <c r="H7" s="970" t="str">
        <f>IF(基本情報入力シート!L22="","",基本情報入力シート!L22)</f>
        <v>○○ケアサービス</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259</v>
      </c>
      <c r="C8" s="946"/>
      <c r="D8" s="946"/>
      <c r="E8" s="946"/>
      <c r="F8" s="946"/>
      <c r="G8" s="947"/>
      <c r="H8" s="402" t="s">
        <v>20</v>
      </c>
      <c r="I8" s="961" t="str">
        <f>IF(基本情報入力シート!AM24="－","",基本情報入力シート!AM24)</f>
        <v>100-0005</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東京都千代田区１－１－１</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○○ビル○○号室</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16</v>
      </c>
      <c r="C11" s="956"/>
      <c r="D11" s="956"/>
      <c r="E11" s="956"/>
      <c r="F11" s="956"/>
      <c r="G11" s="957"/>
      <c r="H11" s="958" t="str">
        <f>IF(基本情報入力シート!L29="","",基本情報入力シート!L29)</f>
        <v>コウロウ タロウ</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260</v>
      </c>
      <c r="C12" s="949"/>
      <c r="D12" s="949"/>
      <c r="E12" s="949"/>
      <c r="F12" s="949"/>
      <c r="G12" s="950"/>
      <c r="H12" s="973" t="str">
        <f>IF(基本情報入力シート!L30="","",基本情報入力シート!L30)</f>
        <v>厚労 太郎</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261</v>
      </c>
      <c r="C13" s="938"/>
      <c r="D13" s="938"/>
      <c r="E13" s="938"/>
      <c r="F13" s="938"/>
      <c r="G13" s="938"/>
      <c r="H13" s="938" t="s">
        <v>39</v>
      </c>
      <c r="I13" s="938"/>
      <c r="J13" s="938"/>
      <c r="K13" s="938"/>
      <c r="L13" s="940" t="str">
        <f>IF(基本情報入力シート!L31="","",基本情報入力シート!L31)</f>
        <v>000-0000-0000</v>
      </c>
      <c r="M13" s="941"/>
      <c r="N13" s="941"/>
      <c r="O13" s="941"/>
      <c r="P13" s="941"/>
      <c r="Q13" s="941"/>
      <c r="R13" s="941"/>
      <c r="S13" s="941"/>
      <c r="T13" s="941"/>
      <c r="U13" s="942"/>
      <c r="V13" s="943" t="s">
        <v>41</v>
      </c>
      <c r="W13" s="944"/>
      <c r="X13" s="944"/>
      <c r="Y13" s="939"/>
      <c r="Z13" s="940" t="str">
        <f>IF(基本情報入力シート!L33="","",基本情報入力シート!L33)</f>
        <v>aaa@aaa,com</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18.5" customHeight="1">
      <c r="A14" s="61"/>
      <c r="B14" s="938"/>
      <c r="C14" s="938"/>
      <c r="D14" s="938"/>
      <c r="E14" s="938"/>
      <c r="F14" s="938"/>
      <c r="G14" s="938"/>
      <c r="H14" s="938" t="s">
        <v>2649</v>
      </c>
      <c r="I14" s="938"/>
      <c r="J14" s="938"/>
      <c r="K14" s="938"/>
      <c r="L14" s="940" t="str">
        <f>IF(基本情報入力シート!L32="","",基本情報入力シート!L32)</f>
        <v>000-0000-0001</v>
      </c>
      <c r="M14" s="941"/>
      <c r="N14" s="941"/>
      <c r="O14" s="941"/>
      <c r="P14" s="941"/>
      <c r="Q14" s="941"/>
      <c r="R14" s="941"/>
      <c r="S14" s="941"/>
      <c r="T14" s="941"/>
      <c r="U14" s="942"/>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5"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263</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918" t="s">
        <v>265</v>
      </c>
      <c r="D17" s="918"/>
      <c r="E17" s="918"/>
      <c r="F17" s="918"/>
      <c r="G17" s="918"/>
      <c r="H17" s="918"/>
      <c r="I17" s="918"/>
      <c r="J17" s="918"/>
      <c r="K17" s="918"/>
      <c r="L17" s="918"/>
      <c r="M17" s="918"/>
      <c r="N17" s="918"/>
      <c r="O17" s="918"/>
      <c r="P17" s="978"/>
      <c r="Q17" s="979">
        <f>'別紙様式2-2（処遇改善加算　個表）'!L5</f>
        <v>551469600</v>
      </c>
      <c r="R17" s="980"/>
      <c r="S17" s="980"/>
      <c r="T17" s="980"/>
      <c r="U17" s="980"/>
      <c r="V17" s="981"/>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977" t="s">
        <v>268</v>
      </c>
      <c r="D18" s="977"/>
      <c r="E18" s="977"/>
      <c r="F18" s="977"/>
      <c r="G18" s="977"/>
      <c r="H18" s="977"/>
      <c r="I18" s="977"/>
      <c r="J18" s="977"/>
      <c r="K18" s="977"/>
      <c r="L18" s="977"/>
      <c r="M18" s="977"/>
      <c r="N18" s="977"/>
      <c r="O18" s="977"/>
      <c r="P18" s="977"/>
      <c r="Q18" s="986">
        <v>10000000</v>
      </c>
      <c r="R18" s="987"/>
      <c r="S18" s="987"/>
      <c r="T18" s="987"/>
      <c r="U18" s="987"/>
      <c r="V18" s="988"/>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977" t="s">
        <v>271</v>
      </c>
      <c r="D19" s="918"/>
      <c r="E19" s="918"/>
      <c r="F19" s="918"/>
      <c r="G19" s="918"/>
      <c r="H19" s="918"/>
      <c r="I19" s="918"/>
      <c r="J19" s="918"/>
      <c r="K19" s="918"/>
      <c r="L19" s="918"/>
      <c r="M19" s="918"/>
      <c r="N19" s="918"/>
      <c r="O19" s="918"/>
      <c r="P19" s="978"/>
      <c r="Q19" s="979">
        <f>Q17+Q18</f>
        <v>561469600</v>
      </c>
      <c r="R19" s="980"/>
      <c r="S19" s="980"/>
      <c r="T19" s="980"/>
      <c r="U19" s="980"/>
      <c r="V19" s="981"/>
      <c r="W19" s="411" t="s">
        <v>266</v>
      </c>
      <c r="X19" s="66" t="s">
        <v>269</v>
      </c>
      <c r="Y19" s="922" t="str">
        <f>IF(H7="", "", IFERROR(IF(Q20&gt;=Q19,"○","×"),""))</f>
        <v>○</v>
      </c>
      <c r="Z19" s="61"/>
      <c r="AA19" s="61"/>
      <c r="AB19" s="61"/>
      <c r="AC19" s="61"/>
      <c r="AD19" s="61"/>
      <c r="AE19" s="61"/>
      <c r="AF19" s="61"/>
      <c r="AG19" s="61"/>
      <c r="AH19" s="61"/>
      <c r="AI19" s="61"/>
      <c r="AJ19" s="61"/>
      <c r="AK19" s="61"/>
      <c r="AL19" s="61"/>
      <c r="AM19" s="982" t="s">
        <v>272</v>
      </c>
      <c r="AN19" s="983"/>
      <c r="AO19" s="983"/>
      <c r="AP19" s="983"/>
      <c r="AQ19" s="983"/>
      <c r="AR19" s="983"/>
      <c r="AS19" s="983"/>
      <c r="AT19" s="983"/>
      <c r="AU19" s="983"/>
      <c r="AV19" s="983"/>
      <c r="AW19" s="983"/>
      <c r="AX19" s="983"/>
      <c r="AY19" s="984"/>
    </row>
    <row r="20" spans="1:51" ht="38.4" customHeight="1" thickBot="1">
      <c r="A20" s="61"/>
      <c r="B20" s="412" t="s">
        <v>273</v>
      </c>
      <c r="C20" s="985" t="s">
        <v>274</v>
      </c>
      <c r="D20" s="985"/>
      <c r="E20" s="985"/>
      <c r="F20" s="985"/>
      <c r="G20" s="985"/>
      <c r="H20" s="985"/>
      <c r="I20" s="985"/>
      <c r="J20" s="985"/>
      <c r="K20" s="985"/>
      <c r="L20" s="985"/>
      <c r="M20" s="985"/>
      <c r="N20" s="985"/>
      <c r="O20" s="985"/>
      <c r="P20" s="985"/>
      <c r="Q20" s="986">
        <v>652500000</v>
      </c>
      <c r="R20" s="987"/>
      <c r="S20" s="987"/>
      <c r="T20" s="987"/>
      <c r="U20" s="987"/>
      <c r="V20" s="988"/>
      <c r="W20" s="413" t="s">
        <v>266</v>
      </c>
      <c r="X20" s="66" t="s">
        <v>269</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5" customHeight="1">
      <c r="A23" s="61"/>
      <c r="B23" s="418" t="s">
        <v>276</v>
      </c>
      <c r="C23" s="915" t="s">
        <v>277</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5" customHeight="1">
      <c r="A24" s="61"/>
      <c r="B24" s="418" t="s">
        <v>276</v>
      </c>
      <c r="C24" s="915" t="s">
        <v>278</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279</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280</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281</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918" t="s">
        <v>282</v>
      </c>
      <c r="D29" s="918"/>
      <c r="E29" s="918"/>
      <c r="F29" s="918"/>
      <c r="G29" s="918"/>
      <c r="H29" s="918"/>
      <c r="I29" s="918"/>
      <c r="J29" s="918"/>
      <c r="K29" s="918"/>
      <c r="L29" s="918"/>
      <c r="M29" s="918"/>
      <c r="N29" s="918"/>
      <c r="O29" s="918"/>
      <c r="P29" s="918"/>
      <c r="Q29" s="918"/>
      <c r="R29" s="918"/>
      <c r="S29" s="918"/>
      <c r="T29" s="919">
        <f>'別紙様式2-2（処遇改善加算　個表）'!L6</f>
        <v>184137750</v>
      </c>
      <c r="U29" s="920"/>
      <c r="V29" s="920"/>
      <c r="W29" s="920"/>
      <c r="X29" s="920"/>
      <c r="Y29" s="921"/>
      <c r="Z29" s="411" t="s">
        <v>266</v>
      </c>
      <c r="AA29" s="118" t="s">
        <v>269</v>
      </c>
      <c r="AB29" s="922" t="str">
        <f>IF(H7="", "", IFERROR(IF(T30&gt;=T29,"○","×"),""))</f>
        <v>○</v>
      </c>
      <c r="AC29" s="426"/>
      <c r="AD29" s="427"/>
      <c r="AE29" s="427"/>
      <c r="AF29" s="427"/>
      <c r="AG29" s="427"/>
      <c r="AH29" s="427"/>
      <c r="AI29" s="427"/>
      <c r="AJ29" s="427"/>
      <c r="AK29" s="427"/>
      <c r="AL29" s="61"/>
      <c r="AM29" s="838" t="s">
        <v>283</v>
      </c>
      <c r="AN29" s="839"/>
      <c r="AO29" s="839"/>
      <c r="AP29" s="839"/>
      <c r="AQ29" s="839"/>
      <c r="AR29" s="839"/>
      <c r="AS29" s="839"/>
      <c r="AT29" s="839"/>
      <c r="AU29" s="839"/>
      <c r="AV29" s="839"/>
      <c r="AW29" s="839"/>
      <c r="AX29" s="839"/>
      <c r="AY29" s="840"/>
    </row>
    <row r="30" spans="1:51" ht="28.5" customHeight="1" thickBot="1">
      <c r="A30" s="61"/>
      <c r="B30" s="425" t="s">
        <v>267</v>
      </c>
      <c r="C30" s="977" t="s">
        <v>284</v>
      </c>
      <c r="D30" s="977"/>
      <c r="E30" s="977"/>
      <c r="F30" s="977"/>
      <c r="G30" s="977"/>
      <c r="H30" s="977"/>
      <c r="I30" s="977"/>
      <c r="J30" s="977"/>
      <c r="K30" s="977"/>
      <c r="L30" s="977"/>
      <c r="M30" s="977"/>
      <c r="N30" s="977"/>
      <c r="O30" s="977"/>
      <c r="P30" s="977"/>
      <c r="Q30" s="977"/>
      <c r="R30" s="977"/>
      <c r="S30" s="977"/>
      <c r="T30" s="992">
        <v>220000000</v>
      </c>
      <c r="U30" s="993"/>
      <c r="V30" s="993"/>
      <c r="W30" s="993"/>
      <c r="X30" s="993"/>
      <c r="Y30" s="994"/>
      <c r="Z30" s="408" t="s">
        <v>266</v>
      </c>
      <c r="AA30" s="118" t="s">
        <v>269</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20" customHeight="1">
      <c r="A33" s="61"/>
      <c r="B33" s="418" t="s">
        <v>276</v>
      </c>
      <c r="C33" s="1003" t="s">
        <v>285</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5" customHeight="1" thickBot="1">
      <c r="A35" s="61"/>
      <c r="B35" s="1004" t="s">
        <v>286</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5" customHeight="1" thickBot="1">
      <c r="A36" s="61"/>
      <c r="B36" s="927" t="s">
        <v>287</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822" t="s">
        <v>288</v>
      </c>
      <c r="D37" s="822"/>
      <c r="E37" s="822"/>
      <c r="F37" s="822"/>
      <c r="G37" s="822"/>
      <c r="H37" s="822"/>
      <c r="I37" s="822"/>
      <c r="J37" s="822"/>
      <c r="K37" s="822"/>
      <c r="L37" s="822"/>
      <c r="M37" s="822"/>
      <c r="N37" s="822"/>
      <c r="O37" s="822"/>
      <c r="P37" s="822"/>
      <c r="Q37" s="822"/>
      <c r="R37" s="822"/>
      <c r="S37" s="823"/>
      <c r="T37" s="1005">
        <f>'別紙様式2-2（処遇改善加算　個表）'!L7</f>
        <v>13460400</v>
      </c>
      <c r="U37" s="1006"/>
      <c r="V37" s="1006"/>
      <c r="W37" s="1006"/>
      <c r="X37" s="1006"/>
      <c r="Y37" s="433" t="s">
        <v>266</v>
      </c>
      <c r="Z37" s="434" t="s">
        <v>269</v>
      </c>
      <c r="AA37" s="435"/>
      <c r="AB37" s="61"/>
      <c r="AC37" s="61"/>
      <c r="AD37" s="61"/>
      <c r="AE37" s="61"/>
      <c r="AF37" s="61"/>
      <c r="AG37" s="61" t="s">
        <v>269</v>
      </c>
      <c r="AH37" s="436" t="str">
        <f>IF(T38&lt;T37,"×","")</f>
        <v/>
      </c>
      <c r="AI37" s="61"/>
      <c r="AJ37" s="61"/>
      <c r="AK37" s="61"/>
      <c r="AL37" s="61"/>
      <c r="AM37" s="909" t="s">
        <v>289</v>
      </c>
      <c r="AN37" s="910"/>
      <c r="AO37" s="910"/>
      <c r="AP37" s="910"/>
      <c r="AQ37" s="910"/>
      <c r="AR37" s="910"/>
      <c r="AS37" s="910"/>
      <c r="AT37" s="910"/>
      <c r="AU37" s="910"/>
      <c r="AV37" s="910"/>
      <c r="AW37" s="910"/>
      <c r="AX37" s="910"/>
      <c r="AY37" s="911"/>
    </row>
    <row r="38" spans="1:56" ht="20" customHeight="1" thickBot="1">
      <c r="A38" s="61"/>
      <c r="B38" s="630" t="s">
        <v>267</v>
      </c>
      <c r="C38" s="824" t="s">
        <v>290</v>
      </c>
      <c r="D38" s="824"/>
      <c r="E38" s="824"/>
      <c r="F38" s="824"/>
      <c r="G38" s="824"/>
      <c r="H38" s="824"/>
      <c r="I38" s="824"/>
      <c r="J38" s="824"/>
      <c r="K38" s="824"/>
      <c r="L38" s="824"/>
      <c r="M38" s="824"/>
      <c r="N38" s="824"/>
      <c r="O38" s="824"/>
      <c r="P38" s="824"/>
      <c r="Q38" s="824"/>
      <c r="R38" s="824"/>
      <c r="S38" s="825"/>
      <c r="T38" s="986">
        <v>13460400</v>
      </c>
      <c r="U38" s="987"/>
      <c r="V38" s="987"/>
      <c r="W38" s="987"/>
      <c r="X38" s="988"/>
      <c r="Y38" s="437" t="s">
        <v>266</v>
      </c>
      <c r="Z38" s="36"/>
      <c r="AA38" s="438" t="s">
        <v>291</v>
      </c>
      <c r="AB38" s="829">
        <f>IFERROR(T39/T37*100,0)</f>
        <v>74.291997266054494</v>
      </c>
      <c r="AC38" s="830"/>
      <c r="AD38" s="831"/>
      <c r="AE38" s="439" t="s">
        <v>292</v>
      </c>
      <c r="AF38" s="439" t="s">
        <v>293</v>
      </c>
      <c r="AG38" s="61" t="s">
        <v>269</v>
      </c>
      <c r="AH38" s="409" t="str">
        <f>IF(OR(T37=0, T37=""),"",(IF(AND(AB38&gt;=200/3, T38&gt;=T39),"○","×")))</f>
        <v>○</v>
      </c>
      <c r="AI38" s="419"/>
      <c r="AJ38" s="419"/>
      <c r="AK38" s="419"/>
      <c r="AL38" s="61"/>
      <c r="AM38" s="845" t="s">
        <v>294</v>
      </c>
      <c r="AN38" s="846"/>
      <c r="AO38" s="846"/>
      <c r="AP38" s="846"/>
      <c r="AQ38" s="846"/>
      <c r="AR38" s="846"/>
      <c r="AS38" s="846"/>
      <c r="AT38" s="846"/>
      <c r="AU38" s="846"/>
      <c r="AV38" s="846"/>
      <c r="AW38" s="846"/>
      <c r="AX38" s="846"/>
      <c r="AY38" s="847"/>
    </row>
    <row r="39" spans="1:56" ht="20" customHeight="1" thickBot="1">
      <c r="A39" s="61"/>
      <c r="B39" s="440"/>
      <c r="C39" s="995" t="s">
        <v>295</v>
      </c>
      <c r="D39" s="996"/>
      <c r="E39" s="996"/>
      <c r="F39" s="996"/>
      <c r="G39" s="996"/>
      <c r="H39" s="996"/>
      <c r="I39" s="996"/>
      <c r="J39" s="996"/>
      <c r="K39" s="996"/>
      <c r="L39" s="996"/>
      <c r="M39" s="996"/>
      <c r="N39" s="996"/>
      <c r="O39" s="996"/>
      <c r="P39" s="996"/>
      <c r="Q39" s="996"/>
      <c r="R39" s="996"/>
      <c r="S39" s="996"/>
      <c r="T39" s="999">
        <v>10000000</v>
      </c>
      <c r="U39" s="1000"/>
      <c r="V39" s="1000"/>
      <c r="W39" s="1000"/>
      <c r="X39" s="1001"/>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20" customHeight="1">
      <c r="A40" s="61"/>
      <c r="B40" s="446"/>
      <c r="C40" s="997"/>
      <c r="D40" s="998"/>
      <c r="E40" s="998"/>
      <c r="F40" s="998"/>
      <c r="G40" s="998"/>
      <c r="H40" s="998"/>
      <c r="I40" s="998"/>
      <c r="J40" s="998"/>
      <c r="K40" s="998"/>
      <c r="L40" s="998"/>
      <c r="M40" s="998"/>
      <c r="N40" s="998"/>
      <c r="O40" s="998"/>
      <c r="P40" s="998"/>
      <c r="Q40" s="998"/>
      <c r="R40" s="998"/>
      <c r="S40" s="998"/>
      <c r="T40" s="447" t="s">
        <v>291</v>
      </c>
      <c r="U40" s="1002">
        <f>T39/12</f>
        <v>833333.33333333337</v>
      </c>
      <c r="V40" s="1002"/>
      <c r="W40" s="1002"/>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5"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20"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49"/>
      <c r="AO42" s="849"/>
      <c r="AP42" s="849"/>
      <c r="AQ42" s="849"/>
      <c r="AR42" s="849"/>
      <c r="AS42" s="849"/>
      <c r="AT42" s="849"/>
      <c r="AU42" s="849"/>
      <c r="AV42" s="849"/>
      <c r="AW42" s="849"/>
      <c r="AX42" s="849"/>
      <c r="AY42" s="850"/>
      <c r="BA42" s="832" t="s">
        <v>297</v>
      </c>
      <c r="BB42" s="832"/>
      <c r="BC42" s="832"/>
      <c r="BD42" s="832"/>
    </row>
    <row r="43" spans="1:56" s="29" customFormat="1" ht="18" customHeight="1" thickBot="1">
      <c r="A43" s="62"/>
      <c r="B43" s="927" t="s">
        <v>298</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299</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49"/>
      <c r="AO45" s="849"/>
      <c r="AP45" s="849"/>
      <c r="AQ45" s="849"/>
      <c r="AR45" s="849"/>
      <c r="AS45" s="849"/>
      <c r="AT45" s="849"/>
      <c r="AU45" s="849"/>
      <c r="AV45" s="849"/>
      <c r="AW45" s="849"/>
      <c r="AX45" s="849"/>
      <c r="AY45" s="850"/>
      <c r="BA45" s="832" t="s">
        <v>300</v>
      </c>
      <c r="BB45" s="832"/>
      <c r="BC45" s="832"/>
      <c r="BD45" s="832"/>
    </row>
    <row r="46" spans="1:56" s="29" customFormat="1" ht="18" customHeight="1" thickBot="1">
      <c r="A46" s="62"/>
      <c r="B46" s="814" t="s">
        <v>301</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46</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302</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303</v>
      </c>
      <c r="BB48" s="837"/>
      <c r="BC48" s="837"/>
      <c r="BD48" s="837"/>
    </row>
    <row r="49" spans="1:56" ht="18" customHeight="1" thickBot="1">
      <c r="A49" s="61"/>
      <c r="B49" s="932" t="s">
        <v>304</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45</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5"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307</v>
      </c>
      <c r="AN52" s="846"/>
      <c r="AO52" s="846"/>
      <c r="AP52" s="846"/>
      <c r="AQ52" s="846"/>
      <c r="AR52" s="846"/>
      <c r="AS52" s="846"/>
      <c r="AT52" s="846"/>
      <c r="AU52" s="846"/>
      <c r="AV52" s="846"/>
      <c r="AW52" s="846"/>
      <c r="AX52" s="846"/>
      <c r="AY52" s="847"/>
      <c r="BA52" s="450"/>
      <c r="BB52" s="450"/>
      <c r="BC52" s="450"/>
    </row>
    <row r="53" spans="1:56" s="29" customFormat="1" ht="20"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20"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20" customHeight="1" thickBot="1">
      <c r="A55" s="62"/>
      <c r="B55" s="462"/>
      <c r="C55" s="529"/>
      <c r="D55" s="1039" t="s">
        <v>310</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20" customHeight="1" thickBot="1">
      <c r="A56" s="62"/>
      <c r="B56" s="467"/>
      <c r="C56" s="530"/>
      <c r="D56" s="614" t="s">
        <v>311</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293</v>
      </c>
      <c r="AL56" s="62"/>
      <c r="AM56" s="1024" t="s">
        <v>312</v>
      </c>
      <c r="AN56" s="1025"/>
      <c r="AO56" s="1025"/>
      <c r="AP56" s="1025"/>
      <c r="AQ56" s="1025"/>
      <c r="AR56" s="1025"/>
      <c r="AS56" s="1025"/>
      <c r="AT56" s="1025"/>
      <c r="AU56" s="1025"/>
      <c r="AV56" s="1025"/>
      <c r="AW56" s="1025"/>
      <c r="AX56" s="1025"/>
      <c r="AY56" s="1026"/>
      <c r="AZ56" s="469"/>
      <c r="BA56" s="623" t="b">
        <v>0</v>
      </c>
      <c r="BB56" s="450"/>
      <c r="BC56" s="450"/>
    </row>
    <row r="57" spans="1:56" s="29" customFormat="1" ht="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313</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314</v>
      </c>
      <c r="BB58" s="837"/>
      <c r="BC58" s="837"/>
      <c r="BD58" s="837"/>
    </row>
    <row r="59" spans="1:56" ht="18" customHeight="1" thickBot="1">
      <c r="A59" s="61"/>
      <c r="B59" s="814" t="s">
        <v>315</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v>
      </c>
      <c r="AL59" s="61"/>
      <c r="AM59" s="61"/>
      <c r="AN59" s="61"/>
      <c r="AO59" s="61"/>
      <c r="AP59" s="61"/>
      <c r="AQ59" s="61"/>
      <c r="AR59" s="61"/>
      <c r="AS59" s="61"/>
      <c r="AT59" s="61"/>
      <c r="AU59" s="61"/>
      <c r="AV59" s="61"/>
      <c r="AW59" s="61"/>
      <c r="AX59" s="61"/>
      <c r="AY59" s="61"/>
      <c r="BA59" s="854">
        <f>COUNTIF('別紙様式2-2（処遇改善加算　個表）'!P:P, "処遇改善加算Ⅰ")</f>
        <v>44</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316</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317</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318</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8"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4"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該当</v>
      </c>
      <c r="AJ65" s="1049"/>
      <c r="AK65" s="1050"/>
      <c r="AL65" s="62"/>
      <c r="AM65" s="321"/>
      <c r="AN65" s="321"/>
      <c r="AO65" s="321"/>
      <c r="AP65" s="321"/>
      <c r="AQ65" s="321"/>
      <c r="AR65" s="321"/>
      <c r="AS65" s="321"/>
      <c r="AT65" s="321"/>
      <c r="AU65" s="321"/>
      <c r="AV65" s="321"/>
      <c r="AW65" s="321"/>
      <c r="AX65" s="321"/>
      <c r="AY65" s="321"/>
    </row>
    <row r="66" spans="1:53" ht="45.65" customHeight="1">
      <c r="A66" s="61"/>
      <c r="B66" s="479" t="s">
        <v>320</v>
      </c>
      <c r="C66" s="1051" t="s">
        <v>321</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8"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5"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該当</v>
      </c>
      <c r="AJ68" s="1053"/>
      <c r="AK68" s="1054"/>
      <c r="AL68" s="62"/>
      <c r="AM68" s="62"/>
      <c r="AN68" s="62"/>
      <c r="AO68" s="61"/>
      <c r="AP68" s="62"/>
      <c r="AQ68" s="62"/>
      <c r="AR68" s="62"/>
      <c r="AS68" s="62"/>
      <c r="AT68" s="62"/>
      <c r="AU68" s="62"/>
      <c r="AV68" s="62"/>
      <c r="AW68" s="62"/>
      <c r="AX68" s="62"/>
      <c r="AY68" s="62"/>
    </row>
    <row r="69" spans="1:53" ht="44" customHeight="1">
      <c r="A69" s="61"/>
      <c r="B69" s="479" t="s">
        <v>320</v>
      </c>
      <c r="C69" s="1051" t="s">
        <v>323</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8"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20" customHeight="1" thickBot="1">
      <c r="A71" s="61"/>
      <c r="B71" s="1036" t="s">
        <v>324</v>
      </c>
      <c r="C71" s="1037"/>
      <c r="D71" s="1038"/>
      <c r="E71" s="1042" t="s">
        <v>325</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326</v>
      </c>
    </row>
    <row r="72" spans="1:53" ht="15" customHeight="1">
      <c r="A72" s="61"/>
      <c r="B72" s="790" t="s">
        <v>327</v>
      </c>
      <c r="C72" s="791"/>
      <c r="D72" s="791"/>
      <c r="E72" s="818"/>
      <c r="F72" s="819"/>
      <c r="G72" s="873" t="s">
        <v>328</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！この区分（４項目）から２つ以上の取組が選択されていません。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329</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330</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331</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5" customHeight="1">
      <c r="A76" s="61"/>
      <c r="B76" s="790" t="s">
        <v>332</v>
      </c>
      <c r="C76" s="791"/>
      <c r="D76" s="791"/>
      <c r="E76" s="818"/>
      <c r="F76" s="819"/>
      <c r="G76" s="873" t="s">
        <v>333</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！この区分（４項目）から２つ以上の取組が選択されていません。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334</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335</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336</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337</v>
      </c>
      <c r="C80" s="791"/>
      <c r="D80" s="791"/>
      <c r="E80" s="818"/>
      <c r="F80" s="819"/>
      <c r="G80" s="1019" t="s">
        <v>338</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！この区分（４項目）から２つ以上の取組が選択されていません。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5" customHeight="1" thickBot="1">
      <c r="A81" s="61"/>
      <c r="B81" s="868"/>
      <c r="C81" s="869"/>
      <c r="D81" s="869"/>
      <c r="E81" s="820"/>
      <c r="F81" s="821"/>
      <c r="G81" s="827" t="s">
        <v>339</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5" customHeight="1">
      <c r="A82" s="61"/>
      <c r="B82" s="868"/>
      <c r="C82" s="869"/>
      <c r="D82" s="869"/>
      <c r="E82" s="820"/>
      <c r="F82" s="821"/>
      <c r="G82" s="827" t="s">
        <v>340</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341</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342</v>
      </c>
      <c r="C84" s="791"/>
      <c r="D84" s="791"/>
      <c r="E84" s="818"/>
      <c r="F84" s="819"/>
      <c r="G84" s="873" t="s">
        <v>343</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！この区分（４項目）から２つ以上の取組が選択されていません。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344</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5" customHeight="1">
      <c r="A86" s="61"/>
      <c r="B86" s="868"/>
      <c r="C86" s="869"/>
      <c r="D86" s="869"/>
      <c r="E86" s="820"/>
      <c r="F86" s="821"/>
      <c r="G86" s="827" t="s">
        <v>345</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346</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5" customHeight="1" thickBot="1">
      <c r="A88" s="61"/>
      <c r="B88" s="790" t="s">
        <v>347</v>
      </c>
      <c r="C88" s="791"/>
      <c r="D88" s="791"/>
      <c r="E88" s="818"/>
      <c r="F88" s="819"/>
      <c r="G88" s="872" t="s">
        <v>348</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！⑰又は⑱の取組は必須です。</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349</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350</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！この区分（８項目）から３つ以上の取組が選択されていません。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351</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352</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5" customHeight="1">
      <c r="A93" s="61"/>
      <c r="B93" s="868"/>
      <c r="C93" s="869"/>
      <c r="D93" s="869"/>
      <c r="E93" s="820"/>
      <c r="F93" s="821"/>
      <c r="G93" s="827" t="s">
        <v>353</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5" customHeight="1">
      <c r="A94" s="61"/>
      <c r="B94" s="868"/>
      <c r="C94" s="869"/>
      <c r="D94" s="869"/>
      <c r="E94" s="820"/>
      <c r="F94" s="821"/>
      <c r="G94" s="827" t="s">
        <v>354</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5" customHeight="1" thickBot="1">
      <c r="A95" s="61"/>
      <c r="B95" s="870"/>
      <c r="C95" s="871"/>
      <c r="D95" s="871"/>
      <c r="E95" s="820"/>
      <c r="F95" s="821"/>
      <c r="G95" s="875" t="s">
        <v>355</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356</v>
      </c>
      <c r="C96" s="791"/>
      <c r="D96" s="791"/>
      <c r="E96" s="818"/>
      <c r="F96" s="819"/>
      <c r="G96" s="873" t="s">
        <v>357</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！この区分（４項目）から２つ以上の取組が選択されていません。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358</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359</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360</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361</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49999999999999" customHeight="1" thickBot="1">
      <c r="A102" s="485"/>
      <c r="B102" s="491" t="s">
        <v>276</v>
      </c>
      <c r="C102" s="926" t="s">
        <v>362</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363</v>
      </c>
      <c r="AN102" s="839"/>
      <c r="AO102" s="839"/>
      <c r="AP102" s="839"/>
      <c r="AQ102" s="839"/>
      <c r="AR102" s="839"/>
      <c r="AS102" s="839"/>
      <c r="AT102" s="839"/>
      <c r="AU102" s="839"/>
      <c r="AV102" s="839"/>
      <c r="AW102" s="839"/>
      <c r="AX102" s="840"/>
      <c r="AY102" s="487"/>
      <c r="BA102" s="623" t="b">
        <v>0</v>
      </c>
    </row>
    <row r="103" spans="1:55" s="487" customFormat="1" ht="30.65" customHeight="1" thickBot="1">
      <c r="A103" s="485"/>
      <c r="B103" s="1011" t="s">
        <v>364</v>
      </c>
      <c r="C103" s="1012"/>
      <c r="D103" s="1012"/>
      <c r="E103" s="1013" t="b">
        <v>0</v>
      </c>
      <c r="F103" s="583"/>
      <c r="G103" s="824" t="s">
        <v>365</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3" customHeight="1" thickBot="1">
      <c r="A104" s="485"/>
      <c r="B104" s="1014"/>
      <c r="C104" s="1015"/>
      <c r="D104" s="1015"/>
      <c r="E104" s="1016" t="b">
        <v>0</v>
      </c>
      <c r="F104" s="582"/>
      <c r="G104" s="1007" t="s">
        <v>366</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5"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5" customHeight="1" thickBot="1">
      <c r="A108" s="62"/>
      <c r="B108" s="859" t="s">
        <v>369</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370</v>
      </c>
      <c r="AF108" s="863"/>
      <c r="AG108" s="863"/>
      <c r="AH108" s="863"/>
      <c r="AI108" s="863"/>
      <c r="AJ108" s="864"/>
      <c r="AK108" s="409" t="str">
        <f>IF(H7="", "", IF(AND(BA109=TRUE,OR(Q18=0,BA110=TRUE),BA111=TRUE,BA112=TRUE, BA114=TRUE, BA113=TRUE,BA115=TRUE),"○","×"))</f>
        <v>○</v>
      </c>
      <c r="AL108" s="61"/>
      <c r="AM108" s="1021" t="s">
        <v>371</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372</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373</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5" customHeight="1">
      <c r="A110" s="62"/>
      <c r="B110" s="532"/>
      <c r="C110" s="866" t="s">
        <v>374</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373</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1</v>
      </c>
    </row>
    <row r="111" spans="1:55" s="29" customFormat="1" ht="36.65" customHeight="1">
      <c r="A111" s="62"/>
      <c r="B111" s="532"/>
      <c r="C111" s="855" t="s">
        <v>375</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376</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1</v>
      </c>
    </row>
    <row r="112" spans="1:55" s="29" customFormat="1" ht="29" customHeight="1">
      <c r="A112" s="62"/>
      <c r="B112" s="532"/>
      <c r="C112" s="855" t="s">
        <v>377</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378</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1</v>
      </c>
    </row>
    <row r="113" spans="1:55" s="29" customFormat="1" ht="22.25" customHeight="1">
      <c r="A113" s="62"/>
      <c r="B113" s="532"/>
      <c r="C113" s="855" t="s">
        <v>379</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380</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1</v>
      </c>
    </row>
    <row r="114" spans="1:55" s="29" customFormat="1" ht="22.25" customHeight="1">
      <c r="A114" s="62"/>
      <c r="B114" s="533"/>
      <c r="C114" s="896" t="s">
        <v>381</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382</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5" t="s">
        <v>383</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378</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1</v>
      </c>
    </row>
    <row r="116" spans="1:55" s="29" customFormat="1" ht="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5" customHeight="1">
      <c r="A118" s="62"/>
      <c r="B118" s="495" t="s">
        <v>384</v>
      </c>
      <c r="C118" s="908" t="s">
        <v>386</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5"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5"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387</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5"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1033">
        <v>7</v>
      </c>
      <c r="F124" s="1034"/>
      <c r="G124" s="46" t="s">
        <v>389</v>
      </c>
      <c r="H124" s="1033">
        <v>4</v>
      </c>
      <c r="I124" s="1034"/>
      <c r="J124" s="46" t="s">
        <v>390</v>
      </c>
      <c r="K124" s="1033">
        <v>1</v>
      </c>
      <c r="L124" s="1034"/>
      <c r="M124" s="46" t="s">
        <v>391</v>
      </c>
      <c r="N124" s="41"/>
      <c r="O124" s="1035" t="s">
        <v>258</v>
      </c>
      <c r="P124" s="1035"/>
      <c r="Q124" s="1035"/>
      <c r="R124" s="900" t="str">
        <f>IF(H7="","",H7)</f>
        <v>○○ケアサービス</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392</v>
      </c>
      <c r="O125" s="907"/>
      <c r="P125" s="907"/>
      <c r="Q125" s="907"/>
      <c r="R125" s="1027" t="s">
        <v>29</v>
      </c>
      <c r="S125" s="1027"/>
      <c r="T125" s="905" t="str">
        <f>IF(基本情報入力シート!L26="", "", 基本情報入力シート!L26)</f>
        <v>代表取締役</v>
      </c>
      <c r="U125" s="905"/>
      <c r="V125" s="905"/>
      <c r="W125" s="905"/>
      <c r="X125" s="905"/>
      <c r="Y125" s="904" t="s">
        <v>31</v>
      </c>
      <c r="Z125" s="904"/>
      <c r="AA125" s="905" t="str">
        <f>IF(基本情報入力シート!L27="", "", 基本情報入力シート!L27)</f>
        <v>厚労 花子</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2"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5"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5"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1" customHeight="1">
      <c r="A132" s="61"/>
      <c r="B132" s="906" t="s">
        <v>397</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398</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5" customHeight="1">
      <c r="A135" s="485"/>
      <c r="B135" s="906" t="s">
        <v>399</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893" t="s">
        <v>401</v>
      </c>
      <c r="D136" s="894"/>
      <c r="E136" s="894"/>
      <c r="F136" s="894"/>
      <c r="G136" s="894"/>
      <c r="H136" s="894"/>
      <c r="I136" s="895"/>
      <c r="J136" s="883" t="s">
        <v>402</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893" t="s">
        <v>404</v>
      </c>
      <c r="D137" s="894"/>
      <c r="E137" s="894"/>
      <c r="F137" s="894"/>
      <c r="G137" s="894"/>
      <c r="H137" s="894"/>
      <c r="I137" s="895"/>
      <c r="J137" s="883" t="s">
        <v>405</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5" customHeight="1">
      <c r="A138" s="485"/>
      <c r="B138" s="521" t="s">
        <v>406</v>
      </c>
      <c r="C138" s="523" t="s">
        <v>407</v>
      </c>
      <c r="D138" s="523"/>
      <c r="E138" s="523"/>
      <c r="F138" s="523"/>
      <c r="G138" s="523"/>
      <c r="H138" s="523"/>
      <c r="I138" s="523"/>
      <c r="J138" s="889" t="s">
        <v>408</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87" t="s">
        <v>410</v>
      </c>
      <c r="D139" s="887"/>
      <c r="E139" s="887"/>
      <c r="F139" s="887"/>
      <c r="G139" s="887"/>
      <c r="H139" s="887"/>
      <c r="I139" s="887"/>
      <c r="J139" s="889" t="s">
        <v>411</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87" t="s">
        <v>413</v>
      </c>
      <c r="D140" s="887"/>
      <c r="E140" s="887"/>
      <c r="F140" s="887"/>
      <c r="G140" s="887"/>
      <c r="H140" s="887"/>
      <c r="I140" s="887"/>
      <c r="J140" s="889" t="s">
        <v>414</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87" t="s">
        <v>416</v>
      </c>
      <c r="D141" s="887"/>
      <c r="E141" s="887"/>
      <c r="F141" s="887"/>
      <c r="G141" s="887"/>
      <c r="H141" s="887"/>
      <c r="I141" s="887"/>
      <c r="J141" s="883" t="s">
        <v>417</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v>
      </c>
      <c r="AL141" s="524"/>
      <c r="AM141" s="61"/>
      <c r="AN141" s="62"/>
      <c r="AO141" s="62"/>
      <c r="AP141" s="62"/>
      <c r="AQ141" s="62"/>
      <c r="AR141" s="62"/>
      <c r="AS141" s="62"/>
      <c r="AT141" s="62"/>
      <c r="AU141" s="62"/>
      <c r="AV141" s="62"/>
      <c r="AW141" s="62"/>
      <c r="AX141" s="62"/>
      <c r="AY141" s="62"/>
    </row>
    <row r="142" spans="1:56" s="29" customFormat="1" ht="22.25" customHeight="1">
      <c r="A142" s="62"/>
      <c r="B142" s="885" t="s">
        <v>418</v>
      </c>
      <c r="C142" s="887" t="s">
        <v>419</v>
      </c>
      <c r="D142" s="887"/>
      <c r="E142" s="887"/>
      <c r="F142" s="887"/>
      <c r="G142" s="887"/>
      <c r="H142" s="887"/>
      <c r="I142" s="887"/>
      <c r="J142" s="889" t="s">
        <v>420</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421</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7" customHeight="1">
      <c r="A145" s="61"/>
      <c r="B145" s="906" t="s">
        <v>422</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276</v>
      </c>
      <c r="C146" s="1028" t="s">
        <v>423</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1030" t="s">
        <v>424</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3" customHeight="1">
      <c r="AM149" s="61"/>
      <c r="AN149" s="61"/>
      <c r="AO149" s="61"/>
      <c r="AP149" s="61"/>
      <c r="AQ149" s="61"/>
      <c r="AR149" s="61"/>
      <c r="AS149" s="61"/>
      <c r="AT149" s="61"/>
      <c r="AU149" s="61"/>
      <c r="AV149" s="61"/>
      <c r="AW149" s="61"/>
      <c r="AX149" s="61"/>
      <c r="AY149" s="61"/>
    </row>
    <row r="150" spans="1:52" ht="13.2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5"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20"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5" customHeight="1">
      <c r="AM166" s="61"/>
      <c r="AN166" s="61"/>
      <c r="AO166" s="61"/>
      <c r="AP166" s="61"/>
      <c r="AQ166" s="61"/>
      <c r="AR166" s="61"/>
      <c r="AS166" s="61"/>
      <c r="AT166" s="61"/>
      <c r="AU166" s="61"/>
      <c r="AV166" s="61"/>
      <c r="AW166" s="61"/>
      <c r="AX166" s="61"/>
      <c r="AY166" s="61"/>
    </row>
    <row r="167" spans="39:56" ht="33.65" customHeight="1">
      <c r="AM167" s="61"/>
      <c r="AN167" s="61"/>
      <c r="AO167" s="61"/>
      <c r="AP167" s="61"/>
      <c r="AQ167" s="61"/>
      <c r="AR167" s="61"/>
      <c r="AS167" s="61"/>
      <c r="AT167" s="61"/>
      <c r="AU167" s="61"/>
      <c r="AV167" s="61"/>
      <c r="AW167" s="61"/>
      <c r="AX167" s="61"/>
      <c r="AY167" s="61"/>
    </row>
    <row r="168" spans="39:56" ht="15.65"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MXWdVzja8Pzp6TsaQVpmSM5phsXOpRqEyyGk4XiHyOS3EL1bIygIVJCvkJjusa7oNSgF+bLzSBSKbRsdvb8VOw==" saltValue="Lp8e+83iNp8IkNQvxE8k7g==" spinCount="100000" sheet="1" formatCells="0" formatColumns="0" formatRows="0" sort="0" autoFilter="0"/>
  <mergeCells count="22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B13:G14"/>
    <mergeCell ref="H14:K14"/>
    <mergeCell ref="L14:U1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2 A15:AL148 A13:B13 A14 H13:AL14">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L14"/>
  </dataValidations>
  <pageMargins left="0.70866141732283472" right="0.70866141732283472" top="0.74803149606299213" bottom="0.74803149606299213" header="0.31496062992125984" footer="0.31496062992125984"/>
  <pageSetup paperSize="9" scale="85"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53125" defaultRowHeight="16.5"/>
  <cols>
    <col min="1" max="1" width="5.453125" customWidth="1"/>
    <col min="2" max="6" width="2.453125" style="390" customWidth="1"/>
    <col min="7" max="7" width="12.453125" customWidth="1"/>
    <col min="8" max="8" width="9" customWidth="1"/>
    <col min="9" max="9" width="9.453125" style="391" customWidth="1"/>
    <col min="10" max="10" width="14.453125" customWidth="1"/>
    <col min="11" max="11" width="17.453125" style="67" customWidth="1"/>
    <col min="12" max="12" width="14" customWidth="1"/>
    <col min="13" max="13" width="11.54296875" style="392" customWidth="1"/>
    <col min="14" max="14" width="14.453125" style="394" customWidth="1"/>
    <col min="15" max="15" width="12" style="239" customWidth="1"/>
    <col min="16" max="16" width="18.54296875" style="395" customWidth="1"/>
    <col min="17" max="17" width="7" style="239" customWidth="1"/>
    <col min="18" max="18" width="4.453125" style="67" customWidth="1"/>
    <col min="19" max="19" width="2.90625" style="393" customWidth="1"/>
    <col min="20" max="20" width="2.90625" style="67" customWidth="1"/>
    <col min="21" max="21" width="3.453125" style="393" customWidth="1"/>
    <col min="22" max="22" width="9.90625" style="67" customWidth="1"/>
    <col min="23" max="23" width="2.90625" style="393" customWidth="1"/>
    <col min="24" max="24" width="2.90625" style="67" customWidth="1"/>
    <col min="25" max="25" width="3.453125" style="393" customWidth="1"/>
    <col min="26" max="27" width="2.90625" style="67" customWidth="1"/>
    <col min="28" max="28" width="4.453125" style="67" customWidth="1"/>
    <col min="29" max="29" width="6.08984375" style="67" customWidth="1"/>
    <col min="30" max="30" width="18.08984375" style="239" customWidth="1"/>
    <col min="31" max="31" width="17.453125" style="239" customWidth="1"/>
    <col min="32" max="32" width="9.90625" style="28" customWidth="1"/>
    <col min="33" max="33" width="18.54296875" style="239" customWidth="1"/>
    <col min="34" max="34" width="9.90625" style="28" customWidth="1"/>
    <col min="35" max="35" width="20.453125" style="28" customWidth="1"/>
    <col min="36" max="36" width="21.54296875" style="28" customWidth="1"/>
    <col min="37" max="37" width="21.453125" style="396" customWidth="1"/>
    <col min="38" max="38" width="22.453125" style="397" customWidth="1"/>
    <col min="39" max="39" width="96.453125" style="55" customWidth="1"/>
    <col min="40" max="40" width="7.08984375" style="55" customWidth="1"/>
    <col min="41" max="41" width="15.453125" style="55" hidden="1" customWidth="1"/>
    <col min="42" max="42" width="29.54296875" style="55" hidden="1" customWidth="1"/>
    <col min="43" max="43" width="18.453125" style="328" hidden="1" customWidth="1"/>
    <col min="44" max="44" width="16.54296875" style="328" hidden="1" customWidth="1"/>
    <col min="45" max="45" width="14.453125" style="328" hidden="1" customWidth="1"/>
    <col min="46" max="46" width="34.453125" style="328" hidden="1" customWidth="1"/>
    <col min="47" max="50" width="10" style="328" hidden="1" customWidth="1"/>
    <col min="51" max="51" width="14.453125" style="328" hidden="1" customWidth="1"/>
    <col min="52" max="52" width="13.90625" style="328" bestFit="1" customWidth="1"/>
    <col min="53" max="53" width="15.453125" style="328" customWidth="1"/>
    <col min="54" max="54" width="12.90625" style="328" customWidth="1"/>
    <col min="55" max="55" width="11.453125" style="328" customWidth="1"/>
    <col min="56" max="58" width="6.90625" style="328" customWidth="1"/>
    <col min="59" max="59" width="6.90625" style="329" customWidth="1"/>
    <col min="60" max="60" width="22.08984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6" t="s">
        <v>255</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加算様式を指定権者に提出</v>
      </c>
      <c r="AP2" s="836"/>
      <c r="AQ2" s="836"/>
      <c r="AR2" s="836"/>
      <c r="AS2" s="836"/>
      <c r="BC2" s="329"/>
      <c r="BD2"/>
      <c r="BE2"/>
      <c r="BF2"/>
      <c r="BG2"/>
    </row>
    <row r="3" spans="1:60" ht="27" customHeight="1" thickBot="1">
      <c r="A3" s="1121" t="s">
        <v>258</v>
      </c>
      <c r="B3" s="1121"/>
      <c r="C3" s="1122"/>
      <c r="D3" s="1123" t="str">
        <f>IF(基本情報入力シート!L22="","",基本情報入力シート!L22)</f>
        <v>○○ケアサービス</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126" t="s">
        <v>427</v>
      </c>
      <c r="B5" s="1127"/>
      <c r="C5" s="1127"/>
      <c r="D5" s="1127"/>
      <c r="E5" s="1127"/>
      <c r="F5" s="1127"/>
      <c r="G5" s="1127"/>
      <c r="H5" s="1127"/>
      <c r="I5" s="1127"/>
      <c r="J5" s="1127"/>
      <c r="K5" s="1127"/>
      <c r="L5" s="1140">
        <f>IFERROR(SUM(AD:AD),"")</f>
        <v>551469600</v>
      </c>
      <c r="M5" s="1140"/>
      <c r="N5" s="348" t="s">
        <v>266</v>
      </c>
      <c r="O5" s="339"/>
      <c r="P5" s="319"/>
      <c r="Q5" s="320"/>
      <c r="R5" s="278"/>
      <c r="S5" s="321"/>
      <c r="T5" s="322"/>
      <c r="U5" s="322"/>
      <c r="V5" s="322"/>
      <c r="W5" s="322"/>
      <c r="X5" s="322"/>
      <c r="Y5" s="322"/>
      <c r="Z5" s="322"/>
      <c r="AA5" s="322"/>
      <c r="AB5" s="322"/>
      <c r="AC5" s="322"/>
      <c r="AD5" s="323"/>
      <c r="AE5" s="1134" t="s">
        <v>428</v>
      </c>
      <c r="AF5" s="1135"/>
      <c r="AG5" s="1135"/>
      <c r="AH5" s="1135"/>
      <c r="AI5" s="1135"/>
      <c r="AJ5" s="1136"/>
      <c r="AK5" s="349">
        <f>SUM(AK12:AK411)</f>
        <v>18</v>
      </c>
      <c r="AL5" s="279"/>
      <c r="AM5" s="346"/>
      <c r="AN5" s="350"/>
      <c r="AO5" s="350"/>
      <c r="AP5" s="350"/>
      <c r="BC5" s="329"/>
      <c r="BD5"/>
      <c r="BE5"/>
      <c r="BF5"/>
      <c r="BG5"/>
    </row>
    <row r="6" spans="1:60" ht="35.25" customHeight="1" thickBot="1">
      <c r="A6" s="351"/>
      <c r="B6" s="1128" t="s">
        <v>429</v>
      </c>
      <c r="C6" s="1127"/>
      <c r="D6" s="1127"/>
      <c r="E6" s="1127"/>
      <c r="F6" s="1127"/>
      <c r="G6" s="1127"/>
      <c r="H6" s="1127"/>
      <c r="I6" s="1127"/>
      <c r="J6" s="1127"/>
      <c r="K6" s="1127"/>
      <c r="L6" s="1140">
        <f>IFERROR(SUM(AE:AE),"")</f>
        <v>184137750</v>
      </c>
      <c r="M6" s="1140"/>
      <c r="N6" s="348" t="s">
        <v>266</v>
      </c>
      <c r="O6" s="318"/>
      <c r="P6" s="319"/>
      <c r="Q6" s="320"/>
      <c r="R6" s="278"/>
      <c r="S6" s="321"/>
      <c r="T6" s="322"/>
      <c r="U6" s="322"/>
      <c r="V6" s="322"/>
      <c r="W6" s="322"/>
      <c r="X6" s="322"/>
      <c r="Y6" s="322"/>
      <c r="Z6" s="322"/>
      <c r="AA6" s="322"/>
      <c r="AB6" s="322"/>
      <c r="AC6" s="322"/>
      <c r="AD6" s="323"/>
      <c r="AE6" s="1134" t="s">
        <v>430</v>
      </c>
      <c r="AF6" s="1135"/>
      <c r="AG6" s="1135"/>
      <c r="AH6" s="1135"/>
      <c r="AI6" s="1135"/>
      <c r="AJ6" s="1136"/>
      <c r="AK6" s="352">
        <f>SUM(AV:AV)</f>
        <v>18</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431</v>
      </c>
      <c r="C7" s="1127"/>
      <c r="D7" s="1127"/>
      <c r="E7" s="1127"/>
      <c r="F7" s="1127"/>
      <c r="G7" s="1127"/>
      <c r="H7" s="1127"/>
      <c r="I7" s="1127"/>
      <c r="J7" s="1127"/>
      <c r="K7" s="1127"/>
      <c r="L7" s="1140">
        <f>IFERROR(SUM(AG:AG),"")</f>
        <v>13460400</v>
      </c>
      <c r="M7" s="1140"/>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432</v>
      </c>
      <c r="AP7" s="1165"/>
      <c r="AT7" s="356"/>
      <c r="AU7" s="1137"/>
      <c r="AV7" s="1137"/>
      <c r="AW7" s="1137"/>
      <c r="AX7" s="1137"/>
      <c r="AY7" s="1137"/>
      <c r="AZ7" s="1137"/>
      <c r="BA7" s="1137"/>
      <c r="BB7" s="357"/>
      <c r="BC7" s="1137"/>
      <c r="BD7" s="1137"/>
      <c r="BE7" s="1137"/>
      <c r="BF7" s="1137"/>
      <c r="BG7" s="1137"/>
    </row>
    <row r="8" spans="1:60" ht="35.25" customHeight="1" thickBot="1">
      <c r="A8" s="1163" t="s">
        <v>433</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v>
      </c>
      <c r="AF9" s="1184"/>
      <c r="AG9" s="1185" t="str">
        <f>IF(D3="", "", IFERROR(IF(COUNTIF(AR:AR,"未入力")=0,"○","×"),""))</f>
        <v>○</v>
      </c>
      <c r="AH9" s="1186"/>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3"/>
      <c r="B10" s="1141" t="s">
        <v>437</v>
      </c>
      <c r="C10" s="1142"/>
      <c r="D10" s="1142"/>
      <c r="E10" s="1142"/>
      <c r="F10" s="1143"/>
      <c r="G10" s="1147" t="s">
        <v>51</v>
      </c>
      <c r="H10" s="1149" t="s">
        <v>52</v>
      </c>
      <c r="I10" s="1149"/>
      <c r="J10" s="1150" t="s">
        <v>438</v>
      </c>
      <c r="K10" s="1152" t="s">
        <v>54</v>
      </c>
      <c r="L10" s="1154" t="s">
        <v>439</v>
      </c>
      <c r="M10" s="1177" t="s">
        <v>440</v>
      </c>
      <c r="N10" s="1179" t="s">
        <v>441</v>
      </c>
      <c r="O10" s="1181" t="s">
        <v>442</v>
      </c>
      <c r="P10" s="1175" t="s">
        <v>443</v>
      </c>
      <c r="Q10" s="1171" t="s">
        <v>444</v>
      </c>
      <c r="R10" s="1158" t="s">
        <v>445</v>
      </c>
      <c r="S10" s="1166"/>
      <c r="T10" s="1166"/>
      <c r="U10" s="1166"/>
      <c r="V10" s="1166"/>
      <c r="W10" s="1166"/>
      <c r="X10" s="1166"/>
      <c r="Y10" s="1166"/>
      <c r="Z10" s="1166"/>
      <c r="AA10" s="1166"/>
      <c r="AB10" s="1166"/>
      <c r="AC10" s="1167"/>
      <c r="AD10" s="1158" t="s">
        <v>446</v>
      </c>
      <c r="AE10" s="1160" t="s">
        <v>447</v>
      </c>
      <c r="AF10" s="1161"/>
      <c r="AG10" s="1162" t="s">
        <v>448</v>
      </c>
      <c r="AH10" s="1161"/>
      <c r="AI10" s="372" t="s">
        <v>449</v>
      </c>
      <c r="AJ10" s="372" t="s">
        <v>450</v>
      </c>
      <c r="AK10" s="372" t="s">
        <v>451</v>
      </c>
      <c r="AL10" s="373" t="s">
        <v>452</v>
      </c>
      <c r="AM10" s="1156" t="s">
        <v>453</v>
      </c>
      <c r="AN10" s="374"/>
      <c r="AO10" s="1138" t="s">
        <v>454</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455</v>
      </c>
      <c r="I11" s="376" t="s">
        <v>456</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457</v>
      </c>
      <c r="AF11" s="378" t="s">
        <v>458</v>
      </c>
      <c r="AG11" s="378" t="s">
        <v>459</v>
      </c>
      <c r="AH11" s="379" t="s">
        <v>460</v>
      </c>
      <c r="AI11" s="379" t="s">
        <v>461</v>
      </c>
      <c r="AJ11" s="380" t="s">
        <v>462</v>
      </c>
      <c r="AK11" s="380" t="s">
        <v>463</v>
      </c>
      <c r="AL11" s="595" t="s">
        <v>464</v>
      </c>
      <c r="AM11" s="1157"/>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098">
        <v>1</v>
      </c>
      <c r="B12" s="1187" t="str">
        <f>IF(基本情報入力シート!B41="","",基本情報入力シート!B41)</f>
        <v>1111111111</v>
      </c>
      <c r="C12" s="1188"/>
      <c r="D12" s="1188"/>
      <c r="E12" s="1188"/>
      <c r="F12" s="1188"/>
      <c r="G12" s="1193" t="str">
        <f>IF(基本情報入力シート!L41="", "", 基本情報入力シート!L41)</f>
        <v>東京都</v>
      </c>
      <c r="H12" s="1193" t="str">
        <f>IF(基本情報入力シート!Q41="", "", 基本情報入力シート!Q41)</f>
        <v>東京都</v>
      </c>
      <c r="I12" s="1193" t="str">
        <f>IF(基本情報入力シート!V41="", "", 基本情報入力シート!V41)</f>
        <v>千代田区</v>
      </c>
      <c r="J12" s="1193" t="str">
        <f>IF(基本情報入力シート!W41="", "", 基本情報入力シート!W41)</f>
        <v>○○ホームヘルプ</v>
      </c>
      <c r="K12" s="1193" t="str">
        <f>IF(基本情報入力シート!X41="", "", 基本情報入力シート!X41)</f>
        <v>訪問介護</v>
      </c>
      <c r="L12" s="1115">
        <f>IF(基本情報入力シート!AC41=0, "",基本情報入力シート!AC41)</f>
        <v>750000</v>
      </c>
      <c r="M12" s="1131">
        <f>IF(AND(基本情報入力シート!B41="",基本情報入力シート!AD41=""), "", 基本情報入力シート!AD41)</f>
        <v>11.4</v>
      </c>
      <c r="N12" s="1103" t="s">
        <v>476</v>
      </c>
      <c r="O12" s="1106">
        <f>IFERROR(VLOOKUP(K12,【参考】数式用２!$A$2:$AD$48,MATCH(N12,【参考】数式用２!$C$4:$AD$4,0)+2,0),"")</f>
        <v>0.245</v>
      </c>
      <c r="P12" s="1055" t="s">
        <v>476</v>
      </c>
      <c r="Q12" s="1068">
        <f>IFERROR(VLOOKUP(K12,【参考】数式用２!$A$2:$AC$48,MATCH(P12,【参考】数式用２!$C$4:$AC$4,0)+2,0),"")</f>
        <v>0.245</v>
      </c>
      <c r="R12" s="1071" t="s">
        <v>388</v>
      </c>
      <c r="S12" s="1059">
        <v>7</v>
      </c>
      <c r="T12" s="1062" t="s">
        <v>477</v>
      </c>
      <c r="U12" s="1059">
        <v>4</v>
      </c>
      <c r="V12" s="1062" t="s">
        <v>478</v>
      </c>
      <c r="W12" s="1059">
        <v>8</v>
      </c>
      <c r="X12" s="1062" t="s">
        <v>477</v>
      </c>
      <c r="Y12" s="1059">
        <v>3</v>
      </c>
      <c r="Z12" s="1062" t="s">
        <v>479</v>
      </c>
      <c r="AA12" s="1062" t="s">
        <v>291</v>
      </c>
      <c r="AB12" s="1062">
        <f>IF(S12&gt;=1,(W12*12+Y12)-(S12*12+U12)+1,"")</f>
        <v>12</v>
      </c>
      <c r="AC12" s="1086" t="s">
        <v>480</v>
      </c>
      <c r="AD12" s="1065">
        <f>IFERROR(ROUNDDOWN(ROUND(L12*Q12,0)*M12,0)*AB12,"")</f>
        <v>25137000</v>
      </c>
      <c r="AE12" s="1089">
        <f>IFERROR(ROUNDDOWN(ROUNDDOWN(ROUND(L12*VLOOKUP(K12,【参考】数式用２!$A$2:$AC$48,MATCH("処遇改善加算Ⅳ",【参考】数式用２!$C$4:$O$4,0)+2,0),0)*M12,0)*AB12*0.5,0), "")</f>
        <v>7438500</v>
      </c>
      <c r="AF12" s="1074" t="s">
        <v>47</v>
      </c>
      <c r="AG12" s="1065" t="str">
        <f>IF(AND(AQ12&lt;&gt;"対象外", P12&lt;&gt;""),ROUNDDOWN(ROUND(L12*VLOOKUP(K12,【参考】数式用２!$A$2:$K$48,MATCH("ベア加算あり",【参考】数式用２!$C$4:$K$4,0)+2,0),0)*M12,0)*AB12,"")</f>
        <v/>
      </c>
      <c r="AH12" s="1083"/>
      <c r="AI12" s="1074" t="s">
        <v>481</v>
      </c>
      <c r="AJ12" s="1074" t="s">
        <v>481</v>
      </c>
      <c r="AK12" s="1077">
        <v>1</v>
      </c>
      <c r="AL12" s="1080" t="s">
        <v>482</v>
      </c>
      <c r="AM12" s="690" t="str">
        <f>IF(Q12="","",IF(Q12&lt;O12,"！加算の要件上は問題ありませんが、令和６年度末の加算率と比較して、令和７年度の加算率が低くなっています。",""))</f>
        <v/>
      </c>
      <c r="AN12" s="385"/>
      <c r="AO12" s="1094" t="str">
        <f>IF(K12&lt;&gt;"","Q列に色付け","")</f>
        <v>Q列に色付け</v>
      </c>
      <c r="AP12" s="1058" t="str">
        <f>IF(AND(AE12&lt;&gt;0,AE12&lt;&gt;""),IF(AF12="○","入力済","未入力"),"")</f>
        <v>入力済</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対象</v>
      </c>
      <c r="AV12" s="836">
        <f>IF(AND(P12&lt;&gt;"処遇改善加算Ⅲ",P12&lt;&gt;"処遇改善加算Ⅳ", P12&lt;&gt;"", AU12&lt;&gt;"対象外"), 1,"")</f>
        <v>1</v>
      </c>
      <c r="AW12" s="836" t="str">
        <f>IFERROR("_"&amp;VLOOKUP(K12, 【参考】数式用２!$AG$2:$AH$48, 2, FALSE), "")</f>
        <v>_11</v>
      </c>
      <c r="AX12" s="1097" t="str">
        <f>IF(AND(P12="処遇改善加算Ⅰ", AL12=""), "未入力","入力済")</f>
        <v>入力済</v>
      </c>
      <c r="AY12" s="1095" t="str">
        <f>G12</f>
        <v>東京都</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IF(基本情報入力シート!B42="", "",基本情報入力シート!B42)</f>
        <v>2222222222</v>
      </c>
      <c r="C16" s="1110"/>
      <c r="D16" s="1110"/>
      <c r="E16" s="1110"/>
      <c r="F16" s="1110"/>
      <c r="G16" s="1110" t="str">
        <f>IF(基本情報入力シート!L42="", "",基本情報入力シート!L42)</f>
        <v>東京都</v>
      </c>
      <c r="H16" s="1110" t="str">
        <f>IF(基本情報入力シート!Q42="", "",基本情報入力シート!Q42)</f>
        <v>東京都</v>
      </c>
      <c r="I16" s="1110" t="str">
        <f>IF(基本情報入力シート!V42="", "",基本情報入力シート!V42)</f>
        <v>千代田区</v>
      </c>
      <c r="J16" s="1110" t="str">
        <f>IF(基本情報入力シート!W42="", "",基本情報入力シート!W42)</f>
        <v>××ホームヘルプ</v>
      </c>
      <c r="K16" s="1110" t="str">
        <f>IF(基本情報入力シート!X42="", "",基本情報入力シート!X42)</f>
        <v>訪問介護</v>
      </c>
      <c r="L16" s="1115">
        <f>IF(基本情報入力シート!AC42=0, "",基本情報入力シート!AC42)</f>
        <v>750000</v>
      </c>
      <c r="M16" s="1130">
        <f>IF(基本情報入力シート!AD42="", "",基本情報入力シート!AD42)</f>
        <v>11.4</v>
      </c>
      <c r="N16" s="1103" t="s">
        <v>483</v>
      </c>
      <c r="O16" s="1106">
        <f>IFERROR(VLOOKUP(K16,【参考】数式用２!$A$2:$AD$48,MATCH(N16,【参考】数式用２!$C$4:$AD$4,0)+2,0),"")</f>
        <v>0.224</v>
      </c>
      <c r="P16" s="1055" t="s">
        <v>483</v>
      </c>
      <c r="Q16" s="1068">
        <f>IFERROR(VLOOKUP(K16,【参考】数式用２!$A$2:$AC$48,MATCH(P16,【参考】数式用２!$C$4:$AC$4,0)+2,0),"")</f>
        <v>0.224</v>
      </c>
      <c r="R16" s="1071" t="s">
        <v>388</v>
      </c>
      <c r="S16" s="1059">
        <v>7</v>
      </c>
      <c r="T16" s="1062" t="s">
        <v>477</v>
      </c>
      <c r="U16" s="1059">
        <v>4</v>
      </c>
      <c r="V16" s="1062" t="s">
        <v>478</v>
      </c>
      <c r="W16" s="1059">
        <v>8</v>
      </c>
      <c r="X16" s="1062" t="s">
        <v>477</v>
      </c>
      <c r="Y16" s="1059">
        <v>3</v>
      </c>
      <c r="Z16" s="1062" t="s">
        <v>479</v>
      </c>
      <c r="AA16" s="1062" t="s">
        <v>291</v>
      </c>
      <c r="AB16" s="1062">
        <f>IF(S16&gt;=1,(W16*12+Y16)-(S16*12+U16)+1,"")</f>
        <v>12</v>
      </c>
      <c r="AC16" s="1086" t="s">
        <v>480</v>
      </c>
      <c r="AD16" s="1065">
        <f>IFERROR(ROUNDDOWN(ROUND(L16*Q16,0)*M16,0)*AB16,"")</f>
        <v>22982400</v>
      </c>
      <c r="AE16" s="1089">
        <f>IFERROR(ROUNDDOWN(ROUNDDOWN(ROUND(L16*VLOOKUP(K16,【参考】数式用２!$A$2:$AC$48,MATCH("処遇改善加算Ⅳ",【参考】数式用２!$C$4:$O$4,0)+2,0),0)*M16,0)*AB16*0.5,0), "")</f>
        <v>7438500</v>
      </c>
      <c r="AF16" s="1074" t="s">
        <v>47</v>
      </c>
      <c r="AG16" s="1065" t="str">
        <f>IF(AND(AQ16&lt;&gt;"対象外", P16&lt;&gt;""),ROUNDDOWN(ROUND(L16*VLOOKUP(K16,【参考】数式用２!$A$2:$K$48,MATCH("ベア加算あり",【参考】数式用２!$C$4:$K$4,0)+2,0),0)*M16,0)*AB16,"")</f>
        <v/>
      </c>
      <c r="AH16" s="1083"/>
      <c r="AI16" s="1074" t="s">
        <v>481</v>
      </c>
      <c r="AJ16" s="1074" t="s">
        <v>481</v>
      </c>
      <c r="AK16" s="1077">
        <v>1</v>
      </c>
      <c r="AL16" s="1080"/>
      <c r="AM16" s="690" t="str">
        <f t="shared" ref="AM16" si="0">IF(Q16="","",IF(Q16&lt;O16,"！加算の要件上は問題ありませんが、令和６年度末の加算率と比較して、令和７年度の加算率が低くなっています。",""))</f>
        <v/>
      </c>
      <c r="AN16" s="385"/>
      <c r="AO16" s="1094" t="str">
        <f>IF(K16&lt;&gt;"","Q列に色付け","")</f>
        <v>Q列に色付け</v>
      </c>
      <c r="AP16" s="1058" t="str">
        <f>IF(AND(AE16&lt;&gt;0,AE16&lt;&gt;""),IF(AF16="○","入力済","未入力"),"")</f>
        <v>入力済</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対象</v>
      </c>
      <c r="AV16" s="836">
        <f>IF(AND(P16&lt;&gt;"処遇改善加算Ⅲ",P16&lt;&gt;"処遇改善加算Ⅳ", P16&lt;&gt;"", AU16&lt;&gt;"対象外"), 1,"")</f>
        <v>1</v>
      </c>
      <c r="AW16" s="836" t="str">
        <f>IFERROR("_"&amp;VLOOKUP(K16, 【参考】数式用２!$AG$2:$AH$48, 2, FALSE), "")</f>
        <v>_11</v>
      </c>
      <c r="AX16" s="1097" t="str">
        <f>IF(AND(P16="処遇改善加算Ⅰ", AL16=""), "未入力","入力済")</f>
        <v>入力済</v>
      </c>
      <c r="AY16" s="1094" t="str">
        <f>G16</f>
        <v>東京都</v>
      </c>
      <c r="AZ16"/>
      <c r="BA16"/>
      <c r="BB16"/>
      <c r="BC16"/>
      <c r="BD16"/>
      <c r="BE16"/>
      <c r="BF16"/>
      <c r="BG16"/>
    </row>
    <row r="17" spans="1:59" ht="1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IF(基本情報入力シート!B43="", "",基本情報入力シート!B43)</f>
        <v>3333333333</v>
      </c>
      <c r="C20" s="1110"/>
      <c r="D20" s="1110"/>
      <c r="E20" s="1110"/>
      <c r="F20" s="1110"/>
      <c r="G20" s="1110" t="str">
        <f>IF(基本情報入力シート!L43="", "",基本情報入力シート!L43)</f>
        <v>東京都</v>
      </c>
      <c r="H20" s="1110" t="str">
        <f>IF(基本情報入力シート!Q43="", "",基本情報入力シート!Q43)</f>
        <v>東京都</v>
      </c>
      <c r="I20" s="1110" t="str">
        <f>IF(基本情報入力シート!V43="", "",基本情報入力シート!V43)</f>
        <v>千代田区</v>
      </c>
      <c r="J20" s="1110" t="str">
        <f>IF(基本情報入力シート!W43="", "",基本情報入力シート!W43)</f>
        <v>△△ホームヘルプ</v>
      </c>
      <c r="K20" s="1110" t="str">
        <f>IF(基本情報入力シート!X43="", "",基本情報入力シート!X43)</f>
        <v>訪問介護</v>
      </c>
      <c r="L20" s="1115">
        <f>IF(基本情報入力シート!AC43=0, "",基本情報入力シート!AC43)</f>
        <v>750000</v>
      </c>
      <c r="M20" s="1118">
        <f>IF(基本情報入力シート!AD43="", "",基本情報入力シート!AD43)</f>
        <v>11.4</v>
      </c>
      <c r="N20" s="1103" t="s">
        <v>484</v>
      </c>
      <c r="O20" s="1106">
        <f>IFERROR(VLOOKUP(K20,【参考】数式用２!$A$2:$AD$48,MATCH(N20,【参考】数式用２!$C$4:$AD$4,0)+2,0),"")</f>
        <v>0.182</v>
      </c>
      <c r="P20" s="1055" t="s">
        <v>484</v>
      </c>
      <c r="Q20" s="1068">
        <f>IFERROR(VLOOKUP(K20,【参考】数式用２!$A$2:$AC$48,MATCH(P20,【参考】数式用２!$C$4:$AC$4,0)+2,0),"")</f>
        <v>0.182</v>
      </c>
      <c r="R20" s="1071" t="s">
        <v>388</v>
      </c>
      <c r="S20" s="1059">
        <v>7</v>
      </c>
      <c r="T20" s="1062" t="s">
        <v>477</v>
      </c>
      <c r="U20" s="1059">
        <v>4</v>
      </c>
      <c r="V20" s="1062" t="s">
        <v>478</v>
      </c>
      <c r="W20" s="1059">
        <v>8</v>
      </c>
      <c r="X20" s="1062" t="s">
        <v>477</v>
      </c>
      <c r="Y20" s="1059">
        <v>3</v>
      </c>
      <c r="Z20" s="1062" t="s">
        <v>479</v>
      </c>
      <c r="AA20" s="1062" t="s">
        <v>291</v>
      </c>
      <c r="AB20" s="1062">
        <f>IF(S20&gt;=1,(W20*12+Y20)-(S20*12+U20)+1,"")</f>
        <v>12</v>
      </c>
      <c r="AC20" s="1086" t="s">
        <v>480</v>
      </c>
      <c r="AD20" s="1065">
        <f>IFERROR(ROUNDDOWN(ROUND(L20*Q20,0)*M20,0)*AB20,"")</f>
        <v>18673200</v>
      </c>
      <c r="AE20" s="1089">
        <f>IFERROR(ROUNDDOWN(ROUNDDOWN(ROUND(L20*VLOOKUP(K20,【参考】数式用２!$A$2:$AC$48,MATCH("処遇改善加算Ⅳ",【参考】数式用２!$C$4:$O$4,0)+2,0),0)*M20,0)*AB20*0.5,0), "")</f>
        <v>7438500</v>
      </c>
      <c r="AF20" s="1074" t="s">
        <v>47</v>
      </c>
      <c r="AG20" s="1065" t="str">
        <f>IF(AND(AQ20&lt;&gt;"対象外", P20&lt;&gt;""),ROUNDDOWN(ROUND(L20*VLOOKUP(K20,【参考】数式用２!$A$2:$K$48,MATCH("ベア加算あり",【参考】数式用２!$C$4:$K$4,0)+2,0),0)*M20,0)*AB20,"")</f>
        <v/>
      </c>
      <c r="AH20" s="1083"/>
      <c r="AI20" s="1074" t="s">
        <v>47</v>
      </c>
      <c r="AJ20" s="1074" t="s">
        <v>47</v>
      </c>
      <c r="AK20" s="1077"/>
      <c r="AL20" s="1080"/>
      <c r="AM20" s="690" t="str">
        <f t="shared" ref="AM20" si="3">IF(Q20="","",IF(Q20&lt;O20,"！加算の要件上は問題ありませんが、令和６年度末の加算率と比較して、令和７年度の加算率が低くなっています。",""))</f>
        <v/>
      </c>
      <c r="AN20" s="385"/>
      <c r="AO20" s="1094" t="str">
        <f>IF(K20&lt;&gt;"","Q列に色付け","")</f>
        <v>Q列に色付け</v>
      </c>
      <c r="AP20" s="1058" t="str">
        <f>IF(AND(AE20&lt;&gt;0,AE20&lt;&gt;""),IF(AF20="○","入力済","未入力"),"")</f>
        <v>入力済</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対象</v>
      </c>
      <c r="AV20" s="836" t="str">
        <f>IF(AND(P20&lt;&gt;"処遇改善加算Ⅲ",P20&lt;&gt;"処遇改善加算Ⅳ", P20&lt;&gt;"", AU20&lt;&gt;"対象外"), 1,"")</f>
        <v/>
      </c>
      <c r="AW20" s="836" t="str">
        <f>IFERROR("_"&amp;VLOOKUP(K20, 【参考】数式用２!$AG$2:$AH$48, 2, FALSE), "")</f>
        <v>_11</v>
      </c>
      <c r="AX20" s="1097" t="str">
        <f>IF(AND(P20="処遇改善加算Ⅰ", AL20=""), "未入力","入力済")</f>
        <v>入力済</v>
      </c>
      <c r="AY20" s="1094" t="str">
        <f>G20</f>
        <v>東京都</v>
      </c>
      <c r="AZ20"/>
      <c r="BA20"/>
      <c r="BB20"/>
      <c r="BC20"/>
      <c r="BD20"/>
      <c r="BE20"/>
      <c r="BF20"/>
      <c r="BG20"/>
    </row>
    <row r="21" spans="1:59" ht="1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IF(基本情報入力シート!B44="", "",基本情報入力シート!B44)</f>
        <v>4444444444</v>
      </c>
      <c r="C24" s="1110"/>
      <c r="D24" s="1110"/>
      <c r="E24" s="1110"/>
      <c r="F24" s="1110"/>
      <c r="G24" s="1110" t="str">
        <f>IF(基本情報入力シート!L44="", "",基本情報入力シート!L44)</f>
        <v>東京都</v>
      </c>
      <c r="H24" s="1110" t="str">
        <f>IF(基本情報入力シート!Q44="", "",基本情報入力シート!Q44)</f>
        <v>東京都</v>
      </c>
      <c r="I24" s="1110" t="str">
        <f>IF(基本情報入力シート!V44="", "",基本情報入力シート!V44)</f>
        <v>千代田区</v>
      </c>
      <c r="J24" s="1110" t="str">
        <f>IF(基本情報入力シート!W44="", "",基本情報入力シート!W44)</f>
        <v>■■ホームヘルプ</v>
      </c>
      <c r="K24" s="1110" t="str">
        <f>IF(基本情報入力シート!X44="", "",基本情報入力シート!X44)</f>
        <v>訪問介護</v>
      </c>
      <c r="L24" s="1115">
        <f>IF(基本情報入力シート!AC44=0, "",基本情報入力シート!AC44)</f>
        <v>750000</v>
      </c>
      <c r="M24" s="1118">
        <f>IF(基本情報入力シート!AD44="", "",基本情報入力シート!AD44)</f>
        <v>11.4</v>
      </c>
      <c r="N24" s="1103" t="s">
        <v>485</v>
      </c>
      <c r="O24" s="1106">
        <f>IFERROR(VLOOKUP(K24,【参考】数式用２!$A$2:$AD$48,MATCH(N24,【参考】数式用２!$C$4:$AD$4,0)+2,0),"")</f>
        <v>0.14499999999999999</v>
      </c>
      <c r="P24" s="1055" t="s">
        <v>485</v>
      </c>
      <c r="Q24" s="1068">
        <f>IFERROR(VLOOKUP(K24,【参考】数式用２!$A$2:$AC$48,MATCH(P24,【参考】数式用２!$C$4:$AC$4,0)+2,0),"")</f>
        <v>0.14499999999999999</v>
      </c>
      <c r="R24" s="1071" t="s">
        <v>388</v>
      </c>
      <c r="S24" s="1059">
        <v>7</v>
      </c>
      <c r="T24" s="1062" t="s">
        <v>477</v>
      </c>
      <c r="U24" s="1059">
        <v>4</v>
      </c>
      <c r="V24" s="1062" t="s">
        <v>478</v>
      </c>
      <c r="W24" s="1059">
        <v>8</v>
      </c>
      <c r="X24" s="1062" t="s">
        <v>477</v>
      </c>
      <c r="Y24" s="1059">
        <v>3</v>
      </c>
      <c r="Z24" s="1062" t="s">
        <v>479</v>
      </c>
      <c r="AA24" s="1062" t="s">
        <v>291</v>
      </c>
      <c r="AB24" s="1062">
        <f>IF(S24&gt;=1,(W24*12+Y24)-(S24*12+U24)+1,"")</f>
        <v>12</v>
      </c>
      <c r="AC24" s="1086" t="s">
        <v>480</v>
      </c>
      <c r="AD24" s="1065">
        <f>IFERROR(ROUNDDOWN(ROUND(L24*Q24,0)*M24,0)*AB24,"")</f>
        <v>14877000</v>
      </c>
      <c r="AE24" s="1089">
        <f>IFERROR(ROUNDDOWN(ROUNDDOWN(ROUND(L24*VLOOKUP(K24,【参考】数式用２!$A$2:$AC$48,MATCH("処遇改善加算Ⅳ",【参考】数式用２!$C$4:$O$4,0)+2,0),0)*M24,0)*AB24*0.5,0), "")</f>
        <v>7438500</v>
      </c>
      <c r="AF24" s="1074" t="s">
        <v>47</v>
      </c>
      <c r="AG24" s="1065" t="str">
        <f>IF(AND(AQ24&lt;&gt;"対象外", P24&lt;&gt;""),ROUNDDOWN(ROUND(L24*VLOOKUP(K24,【参考】数式用２!$A$2:$K$48,MATCH("ベア加算あり",【参考】数式用２!$C$4:$K$4,0)+2,0),0)*M24,0)*AB24,"")</f>
        <v/>
      </c>
      <c r="AH24" s="1083"/>
      <c r="AI24" s="1074" t="s">
        <v>47</v>
      </c>
      <c r="AJ24" s="1074"/>
      <c r="AK24" s="1077"/>
      <c r="AL24" s="1080"/>
      <c r="AM24" s="690" t="str">
        <f t="shared" ref="AM24" si="6">IF(Q24="","",IF(Q24&lt;O24,"！加算の要件上は問題ありませんが、令和６年度末の加算率と比較して、令和７年度の加算率が低くなっています。",""))</f>
        <v/>
      </c>
      <c r="AN24" s="385"/>
      <c r="AO24" s="1094" t="str">
        <f>IF(K24&lt;&gt;"","Q列に色付け","")</f>
        <v>Q列に色付け</v>
      </c>
      <c r="AP24" s="1058" t="str">
        <f>IF(AND(AE24&lt;&gt;0,AE24&lt;&gt;""),IF(AF24="○","入力済","未入力"),"")</f>
        <v>入力済</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対象</v>
      </c>
      <c r="AV24" s="836" t="str">
        <f>IF(AND(P24&lt;&gt;"処遇改善加算Ⅲ",P24&lt;&gt;"処遇改善加算Ⅳ", P24&lt;&gt;"", AU24&lt;&gt;"対象外"), 1,"")</f>
        <v/>
      </c>
      <c r="AW24" s="836" t="str">
        <f>IFERROR("_"&amp;VLOOKUP(K24, 【参考】数式用２!$AG$2:$AH$48, 2, FALSE), "")</f>
        <v>_11</v>
      </c>
      <c r="AX24" s="1097" t="str">
        <f>IF(AND(P24="処遇改善加算Ⅰ", AL24=""), "未入力","入力済")</f>
        <v>入力済</v>
      </c>
      <c r="AY24" s="1094" t="str">
        <f>G24</f>
        <v>東京都</v>
      </c>
      <c r="AZ24"/>
      <c r="BA24"/>
      <c r="BB24"/>
      <c r="BC24"/>
      <c r="BD24"/>
      <c r="BE24"/>
      <c r="BF24"/>
      <c r="BG24"/>
    </row>
    <row r="25" spans="1:59" ht="1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IF(基本情報入力シート!B45="", "",基本情報入力シート!B45)</f>
        <v>1111111111</v>
      </c>
      <c r="C28" s="1110"/>
      <c r="D28" s="1110"/>
      <c r="E28" s="1110"/>
      <c r="F28" s="1110"/>
      <c r="G28" s="1110" t="str">
        <f>IF(基本情報入力シート!L45="", "",基本情報入力シート!L45)</f>
        <v>千代田区</v>
      </c>
      <c r="H28" s="1110" t="str">
        <f>IF(基本情報入力シート!Q45="", "",基本情報入力シート!Q45)</f>
        <v>東京都</v>
      </c>
      <c r="I28" s="1110" t="str">
        <f>IF(基本情報入力シート!V45="", "",基本情報入力シート!V45)</f>
        <v>千代田区</v>
      </c>
      <c r="J28" s="1110" t="str">
        <f>IF(基本情報入力シート!W45="", "",基本情報入力シート!W45)</f>
        <v>◇◇ホームヘルプ</v>
      </c>
      <c r="K28" s="1110" t="str">
        <f>IF(基本情報入力シート!X45="", "",基本情報入力シート!X45)</f>
        <v>夜間対応型訪問介護</v>
      </c>
      <c r="L28" s="1115">
        <f>IF(基本情報入力シート!AC45=0, "",基本情報入力シート!AC45)</f>
        <v>750000</v>
      </c>
      <c r="M28" s="1118">
        <f>IF(基本情報入力シート!AD45="", "",基本情報入力シート!AD45)</f>
        <v>11.4</v>
      </c>
      <c r="N28" s="1103" t="s">
        <v>486</v>
      </c>
      <c r="O28" s="1106">
        <f>IFERROR(VLOOKUP(K28,【参考】数式用２!$A$2:$AD$48,MATCH(N28,【参考】数式用２!$C$4:$AD$4,0)+2,0),"")</f>
        <v>0.221</v>
      </c>
      <c r="P28" s="1055" t="s">
        <v>476</v>
      </c>
      <c r="Q28" s="1068">
        <f>IFERROR(VLOOKUP(K28,【参考】数式用２!$A$2:$AC$48,MATCH(P28,【参考】数式用２!$C$4:$AC$4,0)+2,0),"")</f>
        <v>0.245</v>
      </c>
      <c r="R28" s="1071" t="s">
        <v>388</v>
      </c>
      <c r="S28" s="1059">
        <v>7</v>
      </c>
      <c r="T28" s="1062" t="s">
        <v>477</v>
      </c>
      <c r="U28" s="1059">
        <v>4</v>
      </c>
      <c r="V28" s="1062" t="s">
        <v>478</v>
      </c>
      <c r="W28" s="1059">
        <v>8</v>
      </c>
      <c r="X28" s="1062" t="s">
        <v>477</v>
      </c>
      <c r="Y28" s="1059">
        <v>3</v>
      </c>
      <c r="Z28" s="1062" t="s">
        <v>479</v>
      </c>
      <c r="AA28" s="1062" t="s">
        <v>291</v>
      </c>
      <c r="AB28" s="1062">
        <f>IF(S28&gt;=1,(W28*12+Y28)-(S28*12+U28)+1,"")</f>
        <v>12</v>
      </c>
      <c r="AC28" s="1086" t="s">
        <v>480</v>
      </c>
      <c r="AD28" s="1065">
        <f>IFERROR(ROUNDDOWN(ROUND(L28*Q28,0)*M28,0)*AB28,"")</f>
        <v>25137000</v>
      </c>
      <c r="AE28" s="1089">
        <f>IFERROR(ROUNDDOWN(ROUNDDOWN(ROUND(L28*VLOOKUP(K28,【参考】数式用２!$A$2:$AC$48,MATCH("処遇改善加算Ⅳ",【参考】数式用２!$C$4:$O$4,0)+2,0),0)*M28,0)*AB28*0.5,0), "")</f>
        <v>7438500</v>
      </c>
      <c r="AF28" s="1074" t="s">
        <v>47</v>
      </c>
      <c r="AG28" s="1065">
        <f>IF(AND(AQ28&lt;&gt;"対象外", P28&lt;&gt;""),ROUNDDOWN(ROUND(L28*VLOOKUP(K28,【参考】数式用２!$A$2:$K$48,MATCH("ベア加算あり",【参考】数式用２!$C$4:$K$4,0)+2,0),0)*M28,0)*AB28,"")</f>
        <v>2462400</v>
      </c>
      <c r="AH28" s="1083" t="s">
        <v>47</v>
      </c>
      <c r="AI28" s="1074" t="s">
        <v>481</v>
      </c>
      <c r="AJ28" s="1074" t="s">
        <v>481</v>
      </c>
      <c r="AK28" s="1077">
        <v>1</v>
      </c>
      <c r="AL28" s="1080" t="s">
        <v>487</v>
      </c>
      <c r="AM28" s="690" t="str">
        <f t="shared" ref="AM28" si="9">IF(Q28="","",IF(Q28&lt;O28,"！加算の要件上は問題ありませんが、令和６年度末の加算率と比較して、令和７年度の加算率が低くなっています。",""))</f>
        <v/>
      </c>
      <c r="AN28" s="385"/>
      <c r="AO28" s="1094" t="str">
        <f>IF(K28&lt;&gt;"","Q列に色付け","")</f>
        <v>Q列に色付け</v>
      </c>
      <c r="AP28" s="1058" t="str">
        <f>IF(AND(AE28&lt;&gt;0,AE28&lt;&gt;""),IF(AF28="○","入力済","未入力"),"")</f>
        <v>入力済</v>
      </c>
      <c r="AQ28" s="912" t="str">
        <f>IFERROR((VLOOKUP(N28, 【参考】数式用２!$BE$5:$BE$13, 1,FALSE)), "対象外")</f>
        <v>処遇改善加算Ⅴ（１）</v>
      </c>
      <c r="AR28" s="836" t="str">
        <f>IF(AG28&lt;&gt;"",IF(AH28="○","入力済","未入力"),"")</f>
        <v>入力済</v>
      </c>
      <c r="AS28" s="836" t="str">
        <f>IF(AND(P28&lt;&gt;"", AI28=""), "未入力", "入力済")</f>
        <v>入力済</v>
      </c>
      <c r="AT28" s="836" t="str">
        <f>IF(AND(P28&lt;&gt;"", P28&lt;&gt;"処遇改善加算Ⅳ", AJ28=""), "未入力", "入力済")</f>
        <v>入力済</v>
      </c>
      <c r="AU28" s="836" t="str">
        <f>IFERROR(VLOOKUP(K28, 【参考】数式用２!$BB$5:$BC$48, 2, FALSE), "")</f>
        <v>対象</v>
      </c>
      <c r="AV28" s="836">
        <f>IF(AND(P28&lt;&gt;"処遇改善加算Ⅲ",P28&lt;&gt;"処遇改善加算Ⅳ", P28&lt;&gt;"", AU28&lt;&gt;"対象外"), 1,"")</f>
        <v>1</v>
      </c>
      <c r="AW28" s="836" t="str">
        <f>IFERROR("_"&amp;VLOOKUP(K28, 【参考】数式用２!$AG$2:$AH$48, 2, FALSE), "")</f>
        <v>_71</v>
      </c>
      <c r="AX28" s="1097" t="str">
        <f>IF(AND(P28="処遇改善加算Ⅰ", AL28=""), "未入力","入力済")</f>
        <v>入力済</v>
      </c>
      <c r="AY28" s="1094" t="str">
        <f>G28</f>
        <v>千代田区</v>
      </c>
      <c r="AZ28"/>
      <c r="BA28"/>
      <c r="BB28"/>
      <c r="BC28"/>
      <c r="BD28"/>
      <c r="BE28"/>
      <c r="BF28"/>
      <c r="BG28"/>
    </row>
    <row r="29" spans="1:59" ht="1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IF(基本情報入力シート!B46="", "",基本情報入力シート!B46)</f>
        <v>1111111112</v>
      </c>
      <c r="C32" s="1199"/>
      <c r="D32" s="1199"/>
      <c r="E32" s="1199"/>
      <c r="F32" s="1199"/>
      <c r="G32" s="1199" t="str">
        <f>IF(基本情報入力シート!L46="", "",基本情報入力シート!L46)</f>
        <v>千代田区</v>
      </c>
      <c r="H32" s="1199" t="str">
        <f>IF(基本情報入力シート!Q46="", "",基本情報入力シート!Q46)</f>
        <v>東京都</v>
      </c>
      <c r="I32" s="1199" t="str">
        <f>IF(基本情報入力シート!V46="", "",基本情報入力シート!V46)</f>
        <v>千代田区</v>
      </c>
      <c r="J32" s="1199" t="str">
        <f>IF(基本情報入力シート!W46="", "",基本情報入力シート!W46)</f>
        <v>○○定巡</v>
      </c>
      <c r="K32" s="1199" t="str">
        <f>IF(基本情報入力シート!X46="", "",基本情報入力シート!X46)</f>
        <v>定期巡回・随時対応型訪問介護看護</v>
      </c>
      <c r="L32" s="1115">
        <f>IF(基本情報入力シート!AC46=0, "",基本情報入力シート!AC46)</f>
        <v>750000</v>
      </c>
      <c r="M32" s="1118">
        <f>IF(基本情報入力シート!AD46="", "",基本情報入力シート!AD46)</f>
        <v>11.4</v>
      </c>
      <c r="N32" s="1103" t="s">
        <v>488</v>
      </c>
      <c r="O32" s="1106">
        <f>IFERROR(VLOOKUP(K32,【参考】数式用２!$A$2:$AD$48,MATCH(N32,【参考】数式用２!$C$4:$AD$4,0)+2,0),"")</f>
        <v>0.20799999999999999</v>
      </c>
      <c r="P32" s="1055" t="s">
        <v>476</v>
      </c>
      <c r="Q32" s="1068">
        <f>IFERROR(VLOOKUP(K32,【参考】数式用２!$A$2:$AC$48,MATCH(P32,【参考】数式用２!$C$4:$AC$4,0)+2,0),"")</f>
        <v>0.245</v>
      </c>
      <c r="R32" s="1071" t="s">
        <v>388</v>
      </c>
      <c r="S32" s="1059">
        <v>7</v>
      </c>
      <c r="T32" s="1062" t="s">
        <v>477</v>
      </c>
      <c r="U32" s="1059">
        <v>4</v>
      </c>
      <c r="V32" s="1062" t="s">
        <v>478</v>
      </c>
      <c r="W32" s="1059">
        <v>8</v>
      </c>
      <c r="X32" s="1062" t="s">
        <v>477</v>
      </c>
      <c r="Y32" s="1059">
        <v>3</v>
      </c>
      <c r="Z32" s="1062" t="s">
        <v>479</v>
      </c>
      <c r="AA32" s="1062" t="s">
        <v>291</v>
      </c>
      <c r="AB32" s="1062">
        <f>IF(S32&gt;=1,(W32*12+Y32)-(S32*12+U32)+1,"")</f>
        <v>12</v>
      </c>
      <c r="AC32" s="1086" t="s">
        <v>480</v>
      </c>
      <c r="AD32" s="1065">
        <f>IFERROR(ROUNDDOWN(ROUND(L32*Q32,0)*M32,0)*AB32,"")</f>
        <v>25137000</v>
      </c>
      <c r="AE32" s="1089">
        <f>IFERROR(ROUNDDOWN(ROUNDDOWN(ROUND(L32*VLOOKUP(K32,【参考】数式用２!$A$2:$AC$48,MATCH("処遇改善加算Ⅳ",【参考】数式用２!$C$4:$O$4,0)+2,0),0)*M32,0)*AB32*0.5,0), "")</f>
        <v>7438500</v>
      </c>
      <c r="AF32" s="1074" t="s">
        <v>47</v>
      </c>
      <c r="AG32" s="1065" t="str">
        <f>IF(AND(AQ32&lt;&gt;"対象外", P32&lt;&gt;""),ROUNDDOWN(ROUND(L32*VLOOKUP(K32,【参考】数式用２!$A$2:$K$48,MATCH("ベア加算あり",【参考】数式用２!$C$4:$K$4,0)+2,0),0)*M32,0)*AB32,"")</f>
        <v/>
      </c>
      <c r="AH32" s="1083"/>
      <c r="AI32" s="1074" t="s">
        <v>481</v>
      </c>
      <c r="AJ32" s="1074" t="s">
        <v>481</v>
      </c>
      <c r="AK32" s="1077">
        <v>1</v>
      </c>
      <c r="AL32" s="1080" t="s">
        <v>489</v>
      </c>
      <c r="AM32" s="690" t="str">
        <f t="shared" ref="AM32" si="12">IF(Q32="","",IF(Q32&lt;O32,"！加算の要件上は問題ありませんが、令和６年度末の加算率と比較して、令和７年度の加算率が低くなっています。",""))</f>
        <v/>
      </c>
      <c r="AN32" s="385"/>
      <c r="AO32" s="1095" t="str">
        <f>IF(K32&lt;&gt;"","Q列に色付け","")</f>
        <v>Q列に色付け</v>
      </c>
      <c r="AP32" s="1058" t="str">
        <f>IF(AND(AE32&lt;&gt;0,AE32&lt;&gt;""),IF(AF32="○","入力済","未入力"),"")</f>
        <v>入力済</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f>IF(AND(P32&lt;&gt;"処遇改善加算Ⅲ",P32&lt;&gt;"処遇改善加算Ⅳ", P32&lt;&gt;"", AU32&lt;&gt;"対象外"), 1,"")</f>
        <v>1</v>
      </c>
      <c r="AW32" s="836" t="str">
        <f>IFERROR("_"&amp;VLOOKUP(K32, 【参考】数式用２!$AG$2:$AH$48, 2, FALSE), "")</f>
        <v>_76</v>
      </c>
      <c r="AX32" s="1097" t="str">
        <f>IF(AND(P32="処遇改善加算Ⅰ", AL32=""), "未入力","入力済")</f>
        <v>入力済</v>
      </c>
      <c r="AY32" s="1094" t="str">
        <f>G32</f>
        <v>千代田区</v>
      </c>
      <c r="AZ32"/>
      <c r="BA32"/>
      <c r="BB32"/>
      <c r="BC32"/>
      <c r="BD32"/>
      <c r="BE32"/>
      <c r="BF32"/>
      <c r="BG32"/>
    </row>
    <row r="33" spans="1:59" ht="1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IF(基本情報入力シート!B47="", "",基本情報入力シート!B47)</f>
        <v>1111111113</v>
      </c>
      <c r="C36" s="1110"/>
      <c r="D36" s="1110"/>
      <c r="E36" s="1110"/>
      <c r="F36" s="1110"/>
      <c r="G36" s="1110" t="str">
        <f>IF(基本情報入力シート!L47="", "",基本情報入力シート!L47)</f>
        <v>東京都</v>
      </c>
      <c r="H36" s="1110" t="str">
        <f>IF(基本情報入力シート!Q47="", "",基本情報入力シート!Q47)</f>
        <v>東京都</v>
      </c>
      <c r="I36" s="1110" t="str">
        <f>IF(基本情報入力シート!V47="", "",基本情報入力シート!V47)</f>
        <v>千代田区</v>
      </c>
      <c r="J36" s="1110" t="str">
        <f>IF(基本情報入力シート!W47="", "",基本情報入力シート!W47)</f>
        <v>○○訪問入浴介護</v>
      </c>
      <c r="K36" s="1110" t="str">
        <f>IF(基本情報入力シート!X47="", "",基本情報入力シート!X47)</f>
        <v>訪問入浴介護</v>
      </c>
      <c r="L36" s="1115">
        <f>IF(基本情報入力シート!AC47=0, "",基本情報入力シート!AC47)</f>
        <v>750000</v>
      </c>
      <c r="M36" s="1118">
        <f>IF(基本情報入力シート!AD47="", "",基本情報入力シート!AD47)</f>
        <v>11.4</v>
      </c>
      <c r="N36" s="1103" t="s">
        <v>490</v>
      </c>
      <c r="O36" s="1106">
        <f>IFERROR(VLOOKUP(K36,【参考】数式用２!$A$2:$AD$48,MATCH(N36,【参考】数式用２!$C$4:$AD$4,0)+2,0),"")</f>
        <v>8.3000000000000004E-2</v>
      </c>
      <c r="P36" s="1055" t="s">
        <v>476</v>
      </c>
      <c r="Q36" s="1068">
        <f>IFERROR(VLOOKUP(K36,【参考】数式用２!$A$2:$AC$48,MATCH(P36,【参考】数式用２!$C$4:$AC$4,0)+2,0),"")</f>
        <v>9.9999999999999992E-2</v>
      </c>
      <c r="R36" s="1071" t="s">
        <v>388</v>
      </c>
      <c r="S36" s="1059">
        <v>7</v>
      </c>
      <c r="T36" s="1062" t="s">
        <v>477</v>
      </c>
      <c r="U36" s="1059">
        <v>4</v>
      </c>
      <c r="V36" s="1062" t="s">
        <v>478</v>
      </c>
      <c r="W36" s="1059">
        <v>8</v>
      </c>
      <c r="X36" s="1062" t="s">
        <v>477</v>
      </c>
      <c r="Y36" s="1059">
        <v>3</v>
      </c>
      <c r="Z36" s="1062" t="s">
        <v>479</v>
      </c>
      <c r="AA36" s="1062" t="s">
        <v>291</v>
      </c>
      <c r="AB36" s="1062">
        <f>IF(S36&gt;=1,(W36*12+Y36)-(S36*12+U36)+1,"")</f>
        <v>12</v>
      </c>
      <c r="AC36" s="1086" t="s">
        <v>480</v>
      </c>
      <c r="AD36" s="1065">
        <f>IFERROR(ROUNDDOWN(ROUND(L36*Q36,0)*M36,0)*AB36,"")</f>
        <v>10260000</v>
      </c>
      <c r="AE36" s="1089">
        <f>IFERROR(ROUNDDOWN(ROUNDDOWN(ROUND(L36*VLOOKUP(K36,【参考】数式用２!$A$2:$AC$48,MATCH("処遇改善加算Ⅳ",【参考】数式用２!$C$4:$O$4,0)+2,0),0)*M36,0)*AB36*0.5,0), "")</f>
        <v>3231900</v>
      </c>
      <c r="AF36" s="1074" t="s">
        <v>47</v>
      </c>
      <c r="AG36" s="1065">
        <f>IF(AND(AQ36&lt;&gt;"対象外", P36&lt;&gt;""),ROUNDDOWN(ROUND(L36*VLOOKUP(K36,【参考】数式用２!$A$2:$K$48,MATCH("ベア加算あり",【参考】数式用２!$C$4:$K$4,0)+2,0),0)*M36,0)*AB36,"")</f>
        <v>1128600</v>
      </c>
      <c r="AH36" s="1083" t="s">
        <v>47</v>
      </c>
      <c r="AI36" s="1074" t="s">
        <v>47</v>
      </c>
      <c r="AJ36" s="1074" t="s">
        <v>47</v>
      </c>
      <c r="AK36" s="1077">
        <v>1</v>
      </c>
      <c r="AL36" s="1080" t="s">
        <v>489</v>
      </c>
      <c r="AM36" s="690" t="str">
        <f t="shared" ref="AM36" si="15">IF(Q36="","",IF(Q36&lt;O36,"！加算の要件上は問題ありませんが、令和６年度末の加算率と比較して、令和７年度の加算率が低くなっています。",""))</f>
        <v/>
      </c>
      <c r="AN36" s="385"/>
      <c r="AO36" s="1094" t="str">
        <f>IF(K36&lt;&gt;"","Q列に色付け","")</f>
        <v>Q列に色付け</v>
      </c>
      <c r="AP36" s="1058" t="str">
        <f>IF(AND(AE36&lt;&gt;0,AE36&lt;&gt;""),IF(AF36="○","入力済","未入力"),"")</f>
        <v>入力済</v>
      </c>
      <c r="AQ36" s="912" t="str">
        <f>IFERROR((VLOOKUP(N36, 【参考】数式用２!$BE$5:$BE$13, 1,FALSE)), "対象外")</f>
        <v>処遇改善加算Ⅴ（３）</v>
      </c>
      <c r="AR36" s="836" t="str">
        <f>IF(AG36&lt;&gt;"",IF(AH36="○","入力済","未入力"),"")</f>
        <v>入力済</v>
      </c>
      <c r="AS36" s="836" t="str">
        <f>IF(AND(P36&lt;&gt;"", AI36=""), "未入力", "入力済")</f>
        <v>入力済</v>
      </c>
      <c r="AT36" s="836" t="str">
        <f>IF(AND(P36&lt;&gt;"", P36&lt;&gt;"処遇改善加算Ⅳ", AJ36=""), "未入力", "入力済")</f>
        <v>入力済</v>
      </c>
      <c r="AU36" s="836" t="str">
        <f>IFERROR(VLOOKUP(K36, 【参考】数式用２!$BB$5:$BC$48, 2, FALSE), "")</f>
        <v>対象</v>
      </c>
      <c r="AV36" s="836">
        <f>IF(AND(P36&lt;&gt;"処遇改善加算Ⅲ",P36&lt;&gt;"処遇改善加算Ⅳ", P36&lt;&gt;"", AU36&lt;&gt;"対象外"), 1,"")</f>
        <v>1</v>
      </c>
      <c r="AW36" s="836" t="str">
        <f>IFERROR("_"&amp;VLOOKUP(K36, 【参考】数式用２!$AG$2:$AH$48, 2, FALSE), "")</f>
        <v>_12</v>
      </c>
      <c r="AX36" s="1097" t="str">
        <f>IF(AND(P36="処遇改善加算Ⅰ", AL36=""), "未入力","入力済")</f>
        <v>入力済</v>
      </c>
      <c r="AY36" s="1094" t="str">
        <f>G36</f>
        <v>東京都</v>
      </c>
      <c r="AZ36"/>
      <c r="BA36"/>
      <c r="BB36"/>
      <c r="BC36"/>
      <c r="BD36"/>
      <c r="BE36"/>
      <c r="BF36"/>
      <c r="BG36"/>
    </row>
    <row r="37" spans="1:59" ht="1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IF(基本情報入力シート!B48="", "",基本情報入力シート!B48)</f>
        <v>1111111114</v>
      </c>
      <c r="C40" s="1110"/>
      <c r="D40" s="1110"/>
      <c r="E40" s="1110"/>
      <c r="F40" s="1110"/>
      <c r="G40" s="1110" t="str">
        <f>IF(基本情報入力シート!L48="", "",基本情報入力シート!L48)</f>
        <v>東京都</v>
      </c>
      <c r="H40" s="1110" t="str">
        <f>IF(基本情報入力シート!Q48="", "",基本情報入力シート!Q48)</f>
        <v>東京都</v>
      </c>
      <c r="I40" s="1110" t="str">
        <f>IF(基本情報入力シート!V48="", "",基本情報入力シート!V48)</f>
        <v>千代田区</v>
      </c>
      <c r="J40" s="1110" t="str">
        <f>IF(基本情報入力シート!W48="", "",基本情報入力シート!W48)</f>
        <v>○○訪問入浴介護</v>
      </c>
      <c r="K40" s="1110" t="str">
        <f>IF(基本情報入力シート!X48="", "",基本情報入力シート!X48)</f>
        <v>介護予防訪問入浴介護</v>
      </c>
      <c r="L40" s="1115">
        <f>IF(基本情報入力シート!AC48=0, "",基本情報入力シート!AC48)</f>
        <v>750000</v>
      </c>
      <c r="M40" s="1118">
        <f>IF(基本情報入力シート!AD48="", "",基本情報入力シート!AD48)</f>
        <v>11.4</v>
      </c>
      <c r="N40" s="1103" t="s">
        <v>491</v>
      </c>
      <c r="O40" s="1106">
        <f>IFERROR(VLOOKUP(K40,【参考】数式用２!$A$2:$AD$48,MATCH(N40,【参考】数式用２!$C$4:$AD$4,0)+2,0),"")</f>
        <v>7.8E-2</v>
      </c>
      <c r="P40" s="1055" t="s">
        <v>476</v>
      </c>
      <c r="Q40" s="1068">
        <f>IFERROR(VLOOKUP(K40,【参考】数式用２!$A$2:$AC$48,MATCH(P40,【参考】数式用２!$C$4:$AC$4,0)+2,0),"")</f>
        <v>9.9999999999999992E-2</v>
      </c>
      <c r="R40" s="1071" t="s">
        <v>388</v>
      </c>
      <c r="S40" s="1059">
        <v>7</v>
      </c>
      <c r="T40" s="1062" t="s">
        <v>477</v>
      </c>
      <c r="U40" s="1059">
        <v>4</v>
      </c>
      <c r="V40" s="1062" t="s">
        <v>478</v>
      </c>
      <c r="W40" s="1059">
        <v>8</v>
      </c>
      <c r="X40" s="1062" t="s">
        <v>477</v>
      </c>
      <c r="Y40" s="1059">
        <v>3</v>
      </c>
      <c r="Z40" s="1062" t="s">
        <v>479</v>
      </c>
      <c r="AA40" s="1062" t="s">
        <v>291</v>
      </c>
      <c r="AB40" s="1062">
        <f>IF(S40&gt;=1,(W40*12+Y40)-(S40*12+U40)+1,"")</f>
        <v>12</v>
      </c>
      <c r="AC40" s="1086" t="s">
        <v>480</v>
      </c>
      <c r="AD40" s="1065">
        <f>IFERROR(ROUNDDOWN(ROUND(L40*Q40,0)*M40,0)*AB40,"")</f>
        <v>10260000</v>
      </c>
      <c r="AE40" s="1089">
        <f>IFERROR(ROUNDDOWN(ROUNDDOWN(ROUND(L40*VLOOKUP(K40,【参考】数式用２!$A$2:$AC$48,MATCH("処遇改善加算Ⅳ",【参考】数式用２!$C$4:$O$4,0)+2,0),0)*M40,0)*AB40*0.5,0), "")</f>
        <v>3231900</v>
      </c>
      <c r="AF40" s="1074" t="s">
        <v>47</v>
      </c>
      <c r="AG40" s="1065" t="str">
        <f>IF(AND(AQ40&lt;&gt;"対象外", P40&lt;&gt;""),ROUNDDOWN(ROUND(L40*VLOOKUP(K40,【参考】数式用２!$A$2:$K$48,MATCH("ベア加算あり",【参考】数式用２!$C$4:$K$4,0)+2,0),0)*M40,0)*AB40,"")</f>
        <v/>
      </c>
      <c r="AH40" s="1083"/>
      <c r="AI40" s="1074" t="s">
        <v>47</v>
      </c>
      <c r="AJ40" s="1074" t="s">
        <v>481</v>
      </c>
      <c r="AK40" s="1077"/>
      <c r="AL40" s="1080" t="s">
        <v>489</v>
      </c>
      <c r="AM40" s="690" t="str">
        <f t="shared" ref="AM40" si="18">IF(Q40="","",IF(Q40&lt;O40,"！加算の要件上は問題ありませんが、令和６年度末の加算率と比較して、令和７年度の加算率が低くなっています。",""))</f>
        <v/>
      </c>
      <c r="AN40" s="385"/>
      <c r="AO40" s="1094" t="str">
        <f>IF(K40&lt;&gt;"","Q列に色付け","")</f>
        <v>Q列に色付け</v>
      </c>
      <c r="AP40" s="1058" t="str">
        <f>IF(AND(AE40&lt;&gt;0,AE40&lt;&gt;""),IF(AF40="○","入力済","未入力"),"")</f>
        <v>入力済</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対象外</v>
      </c>
      <c r="AV40" s="836" t="str">
        <f>IF(AND(P40&lt;&gt;"処遇改善加算Ⅲ",P40&lt;&gt;"処遇改善加算Ⅳ", P40&lt;&gt;"", AU40&lt;&gt;"対象外"), 1,"")</f>
        <v/>
      </c>
      <c r="AW40" s="836" t="str">
        <f>IFERROR("_"&amp;VLOOKUP(K40, 【参考】数式用２!$AG$2:$AH$48, 2, FALSE), "")</f>
        <v>_62</v>
      </c>
      <c r="AX40" s="1097" t="str">
        <f>IF(AND(P40="処遇改善加算Ⅰ", AL40=""), "未入力","入力済")</f>
        <v>入力済</v>
      </c>
      <c r="AY40" s="1094" t="str">
        <f>G40</f>
        <v>東京都</v>
      </c>
      <c r="AZ40"/>
      <c r="BA40"/>
      <c r="BB40"/>
      <c r="BC40"/>
      <c r="BD40"/>
      <c r="BE40"/>
      <c r="BF40"/>
      <c r="BG40"/>
    </row>
    <row r="41" spans="1:59" ht="1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IF(基本情報入力シート!B49="", "",基本情報入力シート!B49)</f>
        <v>1111111115</v>
      </c>
      <c r="C44" s="1110"/>
      <c r="D44" s="1110"/>
      <c r="E44" s="1110"/>
      <c r="F44" s="1110"/>
      <c r="G44" s="1110" t="str">
        <f>IF(基本情報入力シート!L49="", "",基本情報入力シート!L49)</f>
        <v>東京都</v>
      </c>
      <c r="H44" s="1110" t="str">
        <f>IF(基本情報入力シート!Q49="", "",基本情報入力シート!Q49)</f>
        <v>東京都</v>
      </c>
      <c r="I44" s="1110" t="str">
        <f>IF(基本情報入力シート!V49="", "",基本情報入力シート!V49)</f>
        <v>千代田区</v>
      </c>
      <c r="J44" s="1110" t="str">
        <f>IF(基本情報入力シート!W49="", "",基本情報入力シート!W49)</f>
        <v>○○デイケア</v>
      </c>
      <c r="K44" s="1110" t="str">
        <f>IF(基本情報入力シート!X49="", "",基本情報入力シート!X49)</f>
        <v>通所介護</v>
      </c>
      <c r="L44" s="1115">
        <f>IF(基本情報入力シート!AC49=0, "",基本情報入力シート!AC49)</f>
        <v>750000</v>
      </c>
      <c r="M44" s="1118">
        <f>IF(基本情報入力シート!AD49="", "",基本情報入力シート!AD49)</f>
        <v>10.9</v>
      </c>
      <c r="N44" s="1103" t="s">
        <v>492</v>
      </c>
      <c r="O44" s="1106">
        <f>IFERROR(VLOOKUP(K44,【参考】数式用２!$A$2:$AD$48,MATCH(N44,【参考】数式用２!$C$4:$AD$4,0)+2,0),"")</f>
        <v>6.4999999999999988E-2</v>
      </c>
      <c r="P44" s="1055" t="s">
        <v>476</v>
      </c>
      <c r="Q44" s="1068">
        <f>IFERROR(VLOOKUP(K44,【参考】数式用２!$A$2:$AC$48,MATCH(P44,【参考】数式用２!$C$4:$AC$4,0)+2,0),"")</f>
        <v>9.1999999999999985E-2</v>
      </c>
      <c r="R44" s="1071" t="s">
        <v>388</v>
      </c>
      <c r="S44" s="1059">
        <v>7</v>
      </c>
      <c r="T44" s="1062" t="s">
        <v>477</v>
      </c>
      <c r="U44" s="1059">
        <v>4</v>
      </c>
      <c r="V44" s="1062" t="s">
        <v>478</v>
      </c>
      <c r="W44" s="1059">
        <v>8</v>
      </c>
      <c r="X44" s="1062" t="s">
        <v>477</v>
      </c>
      <c r="Y44" s="1059">
        <v>3</v>
      </c>
      <c r="Z44" s="1062" t="s">
        <v>479</v>
      </c>
      <c r="AA44" s="1062" t="s">
        <v>291</v>
      </c>
      <c r="AB44" s="1062">
        <f>IF(S44&gt;=1,(W44*12+Y44)-(S44*12+U44)+1,"")</f>
        <v>12</v>
      </c>
      <c r="AC44" s="1086" t="s">
        <v>480</v>
      </c>
      <c r="AD44" s="1065">
        <f>IFERROR(ROUNDDOWN(ROUND(L44*Q44,0)*M44,0)*AB44,"")</f>
        <v>9025200</v>
      </c>
      <c r="AE44" s="1089">
        <f>IFERROR(ROUNDDOWN(ROUNDDOWN(ROUND(L44*VLOOKUP(K44,【参考】数式用２!$A$2:$AC$48,MATCH("処遇改善加算Ⅳ",【参考】数式用２!$C$4:$O$4,0)+2,0),0)*M44,0)*AB44*0.5,0), "")</f>
        <v>3139200</v>
      </c>
      <c r="AF44" s="1074" t="s">
        <v>47</v>
      </c>
      <c r="AG44" s="1065">
        <f>IF(AND(AQ44&lt;&gt;"対象外", P44&lt;&gt;""),ROUNDDOWN(ROUND(L44*VLOOKUP(K44,【参考】数式用２!$A$2:$K$48,MATCH("ベア加算あり",【参考】数式用２!$C$4:$K$4,0)+2,0),0)*M44,0)*AB44,"")</f>
        <v>1079100</v>
      </c>
      <c r="AH44" s="1083" t="s">
        <v>47</v>
      </c>
      <c r="AI44" s="1074" t="s">
        <v>481</v>
      </c>
      <c r="AJ44" s="1074" t="s">
        <v>481</v>
      </c>
      <c r="AK44" s="1077">
        <v>1</v>
      </c>
      <c r="AL44" s="1080" t="s">
        <v>489</v>
      </c>
      <c r="AM44" s="690" t="str">
        <f t="shared" ref="AM44" si="21">IF(Q44="","",IF(Q44&lt;O44,"！加算の要件上は問題ありませんが、令和６年度末の加算率と比較して、令和７年度の加算率が低くなっています。",""))</f>
        <v/>
      </c>
      <c r="AN44" s="385"/>
      <c r="AO44" s="1094" t="str">
        <f>IF(K44&lt;&gt;"","Q列に色付け","")</f>
        <v>Q列に色付け</v>
      </c>
      <c r="AP44" s="1058" t="str">
        <f>IF(AND(AE44&lt;&gt;0,AE44&lt;&gt;""),IF(AF44="○","入力済","未入力"),"")</f>
        <v>入力済</v>
      </c>
      <c r="AQ44" s="912" t="str">
        <f>IFERROR((VLOOKUP(N44, 【参考】数式用２!$BE$5:$BE$13, 1,FALSE)), "対象外")</f>
        <v>処遇改善加算Ⅴ（５）</v>
      </c>
      <c r="AR44" s="836" t="str">
        <f>IF(AG44&lt;&gt;"",IF(AH44="○","入力済","未入力"),"")</f>
        <v>入力済</v>
      </c>
      <c r="AS44" s="836" t="str">
        <f>IF(AND(P44&lt;&gt;"", AI44=""), "未入力", "入力済")</f>
        <v>入力済</v>
      </c>
      <c r="AT44" s="836" t="str">
        <f>IF(AND(P44&lt;&gt;"", P44&lt;&gt;"処遇改善加算Ⅳ", AJ44=""), "未入力", "入力済")</f>
        <v>入力済</v>
      </c>
      <c r="AU44" s="836" t="str">
        <f>IFERROR(VLOOKUP(K44, 【参考】数式用２!$BB$5:$BC$48, 2, FALSE), "")</f>
        <v>対象</v>
      </c>
      <c r="AV44" s="836">
        <f>IF(AND(P44&lt;&gt;"処遇改善加算Ⅲ",P44&lt;&gt;"処遇改善加算Ⅳ", P44&lt;&gt;"", AU44&lt;&gt;"対象外"), 1,"")</f>
        <v>1</v>
      </c>
      <c r="AW44" s="836" t="str">
        <f>IFERROR("_"&amp;VLOOKUP(K44, 【参考】数式用２!$AG$2:$AH$48, 2, FALSE), "")</f>
        <v>_15</v>
      </c>
      <c r="AX44" s="1097" t="str">
        <f>IF(AND(P44="処遇改善加算Ⅰ", AL44=""), "未入力","入力済")</f>
        <v>入力済</v>
      </c>
      <c r="AY44" s="1094" t="str">
        <f>G44</f>
        <v>東京都</v>
      </c>
      <c r="AZ44"/>
      <c r="BA44"/>
      <c r="BB44"/>
      <c r="BC44"/>
      <c r="BD44"/>
      <c r="BE44"/>
      <c r="BF44"/>
      <c r="BG44"/>
    </row>
    <row r="45" spans="1:59" ht="1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IF(基本情報入力シート!B50="", "",基本情報入力シート!B50)</f>
        <v>1111111116</v>
      </c>
      <c r="C48" s="1110"/>
      <c r="D48" s="1110"/>
      <c r="E48" s="1110"/>
      <c r="F48" s="1110"/>
      <c r="G48" s="1110" t="str">
        <f>IF(基本情報入力シート!L50="", "",基本情報入力シート!L50)</f>
        <v>千代田区</v>
      </c>
      <c r="H48" s="1110" t="str">
        <f>IF(基本情報入力シート!Q50="", "",基本情報入力シート!Q50)</f>
        <v>東京都</v>
      </c>
      <c r="I48" s="1110" t="str">
        <f>IF(基本情報入力シート!V50="", "",基本情報入力シート!V50)</f>
        <v>千代田区</v>
      </c>
      <c r="J48" s="1110" t="str">
        <f>IF(基本情報入力シート!W50="", "",基本情報入力シート!W50)</f>
        <v>○○デイケア</v>
      </c>
      <c r="K48" s="1110" t="str">
        <f>IF(基本情報入力シート!X50="", "",基本情報入力シート!X50)</f>
        <v>地域密着型通所介護</v>
      </c>
      <c r="L48" s="1115">
        <f>IF(基本情報入力シート!AC50=0, "",基本情報入力シート!AC50)</f>
        <v>750000</v>
      </c>
      <c r="M48" s="1118">
        <f>IF(基本情報入力シート!AD50="", "",基本情報入力シート!AD50)</f>
        <v>10.9</v>
      </c>
      <c r="N48" s="1103" t="s">
        <v>493</v>
      </c>
      <c r="O48" s="1106">
        <f>IFERROR(VLOOKUP(K48,【参考】数式用２!$A$2:$AD$48,MATCH(N48,【参考】数式用２!$C$4:$AD$4,0)+2,0),"")</f>
        <v>6.3E-2</v>
      </c>
      <c r="P48" s="1055" t="s">
        <v>476</v>
      </c>
      <c r="Q48" s="1068">
        <f>IFERROR(VLOOKUP(K48,【参考】数式用２!$A$2:$AC$48,MATCH(P48,【参考】数式用２!$C$4:$AC$4,0)+2,0),"")</f>
        <v>9.1999999999999985E-2</v>
      </c>
      <c r="R48" s="1071" t="s">
        <v>388</v>
      </c>
      <c r="S48" s="1059">
        <v>7</v>
      </c>
      <c r="T48" s="1062" t="s">
        <v>477</v>
      </c>
      <c r="U48" s="1059">
        <v>4</v>
      </c>
      <c r="V48" s="1062" t="s">
        <v>478</v>
      </c>
      <c r="W48" s="1059">
        <v>8</v>
      </c>
      <c r="X48" s="1062" t="s">
        <v>477</v>
      </c>
      <c r="Y48" s="1059">
        <v>3</v>
      </c>
      <c r="Z48" s="1062" t="s">
        <v>479</v>
      </c>
      <c r="AA48" s="1062" t="s">
        <v>291</v>
      </c>
      <c r="AB48" s="1062">
        <f>IF(S48&gt;=1,(W48*12+Y48)-(S48*12+U48)+1,"")</f>
        <v>12</v>
      </c>
      <c r="AC48" s="1086" t="s">
        <v>480</v>
      </c>
      <c r="AD48" s="1065">
        <f>IFERROR(ROUNDDOWN(ROUND(L48*Q48,0)*M48,0)*AB48,"")</f>
        <v>9025200</v>
      </c>
      <c r="AE48" s="1089">
        <f>IFERROR(ROUNDDOWN(ROUNDDOWN(ROUND(L48*VLOOKUP(K48,【参考】数式用２!$A$2:$AC$48,MATCH("処遇改善加算Ⅳ",【参考】数式用２!$C$4:$O$4,0)+2,0),0)*M48,0)*AB48*0.5,0), "")</f>
        <v>3139200</v>
      </c>
      <c r="AF48" s="1074" t="s">
        <v>47</v>
      </c>
      <c r="AG48" s="1065">
        <f>IF(AND(AQ48&lt;&gt;"対象外", P48&lt;&gt;""),ROUNDDOWN(ROUND(L48*VLOOKUP(K48,【参考】数式用２!$A$2:$K$48,MATCH("ベア加算あり",【参考】数式用２!$C$4:$K$4,0)+2,0),0)*M48,0)*AB48,"")</f>
        <v>1079100</v>
      </c>
      <c r="AH48" s="1083" t="s">
        <v>47</v>
      </c>
      <c r="AI48" s="1074" t="s">
        <v>481</v>
      </c>
      <c r="AJ48" s="1074" t="s">
        <v>47</v>
      </c>
      <c r="AK48" s="1077">
        <v>1</v>
      </c>
      <c r="AL48" s="1080" t="s">
        <v>489</v>
      </c>
      <c r="AM48" s="690" t="str">
        <f t="shared" ref="AM48" si="24">IF(Q48="","",IF(Q48&lt;O48,"！加算の要件上は問題ありませんが、令和６年度末の加算率と比較して、令和７年度の加算率が低くなっています。",""))</f>
        <v/>
      </c>
      <c r="AN48" s="385"/>
      <c r="AO48" s="1094" t="str">
        <f>IF(K48&lt;&gt;"","Q列に色付け","")</f>
        <v>Q列に色付け</v>
      </c>
      <c r="AP48" s="1058" t="str">
        <f>IF(AND(AE48&lt;&gt;0,AE48&lt;&gt;""),IF(AF48="○","入力済","未入力"),"")</f>
        <v>入力済</v>
      </c>
      <c r="AQ48" s="912" t="str">
        <f>IFERROR((VLOOKUP(N48, 【参考】数式用２!$BE$5:$BE$13, 1,FALSE)), "対象外")</f>
        <v>処遇改善加算Ⅴ（６）</v>
      </c>
      <c r="AR48" s="836" t="str">
        <f>IF(AG48&lt;&gt;"",IF(AH48="○","入力済","未入力"),"")</f>
        <v>入力済</v>
      </c>
      <c r="AS48" s="836" t="str">
        <f>IF(AND(P48&lt;&gt;"", AI48=""), "未入力", "入力済")</f>
        <v>入力済</v>
      </c>
      <c r="AT48" s="836" t="str">
        <f>IF(AND(P48&lt;&gt;"", P48&lt;&gt;"処遇改善加算Ⅳ", AJ48=""), "未入力", "入力済")</f>
        <v>入力済</v>
      </c>
      <c r="AU48" s="836" t="str">
        <f>IFERROR(VLOOKUP(K48, 【参考】数式用２!$BB$5:$BC$48, 2, FALSE), "")</f>
        <v>対象</v>
      </c>
      <c r="AV48" s="836">
        <f>IF(AND(P48&lt;&gt;"処遇改善加算Ⅲ",P48&lt;&gt;"処遇改善加算Ⅳ", P48&lt;&gt;"", AU48&lt;&gt;"対象外"), 1,"")</f>
        <v>1</v>
      </c>
      <c r="AW48" s="836" t="str">
        <f>IFERROR("_"&amp;VLOOKUP(K48, 【参考】数式用２!$AG$2:$AH$48, 2, FALSE), "")</f>
        <v>_78</v>
      </c>
      <c r="AX48" s="1097" t="str">
        <f>IF(AND(P48="処遇改善加算Ⅰ", AL48=""), "未入力","入力済")</f>
        <v>入力済</v>
      </c>
      <c r="AY48" s="1094" t="str">
        <f>G48</f>
        <v>千代田区</v>
      </c>
      <c r="AZ48"/>
      <c r="BA48"/>
      <c r="BB48"/>
      <c r="BC48"/>
      <c r="BD48"/>
      <c r="BE48"/>
      <c r="BF48"/>
      <c r="BG48"/>
    </row>
    <row r="49" spans="1:59" ht="1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IF(基本情報入力シート!B51="", "",基本情報入力シート!B51)</f>
        <v>1111111117</v>
      </c>
      <c r="C52" s="1110"/>
      <c r="D52" s="1110"/>
      <c r="E52" s="1110"/>
      <c r="F52" s="1110"/>
      <c r="G52" s="1110" t="str">
        <f>IF(基本情報入力シート!L51="", "",基本情報入力シート!L51)</f>
        <v>東京都</v>
      </c>
      <c r="H52" s="1110" t="str">
        <f>IF(基本情報入力シート!Q51="", "",基本情報入力シート!Q51)</f>
        <v>東京都</v>
      </c>
      <c r="I52" s="1110" t="str">
        <f>IF(基本情報入力シート!V51="", "",基本情報入力シート!V51)</f>
        <v>千代田区</v>
      </c>
      <c r="J52" s="1110" t="str">
        <f>IF(基本情報入力シート!W51="", "",基本情報入力シート!W51)</f>
        <v>○○リハ</v>
      </c>
      <c r="K52" s="1110" t="str">
        <f>IF(基本情報入力シート!X51="", "",基本情報入力シート!X51)</f>
        <v>通所リハビリテーション</v>
      </c>
      <c r="L52" s="1115">
        <f>IF(基本情報入力シート!AC51=0, "",基本情報入力シート!AC51)</f>
        <v>750000</v>
      </c>
      <c r="M52" s="1118">
        <f>IF(基本情報入力シート!AD51="", "",基本情報入力シート!AD51)</f>
        <v>11.1</v>
      </c>
      <c r="N52" s="1103" t="s">
        <v>494</v>
      </c>
      <c r="O52" s="1106">
        <f>IFERROR(VLOOKUP(K52,【参考】数式用２!$A$2:$AD$48,MATCH(N52,【参考】数式用２!$C$4:$AD$4,0)+2,0),"")</f>
        <v>5.8000000000000003E-2</v>
      </c>
      <c r="P52" s="1055" t="s">
        <v>476</v>
      </c>
      <c r="Q52" s="1068">
        <f>IFERROR(VLOOKUP(K52,【参考】数式用２!$A$2:$AC$48,MATCH(P52,【参考】数式用２!$C$4:$AC$4,0)+2,0),"")</f>
        <v>8.5999999999999993E-2</v>
      </c>
      <c r="R52" s="1071" t="s">
        <v>388</v>
      </c>
      <c r="S52" s="1059">
        <v>7</v>
      </c>
      <c r="T52" s="1062" t="s">
        <v>477</v>
      </c>
      <c r="U52" s="1059">
        <v>4</v>
      </c>
      <c r="V52" s="1062" t="s">
        <v>478</v>
      </c>
      <c r="W52" s="1059">
        <v>8</v>
      </c>
      <c r="X52" s="1062" t="s">
        <v>477</v>
      </c>
      <c r="Y52" s="1059">
        <v>3</v>
      </c>
      <c r="Z52" s="1062" t="s">
        <v>479</v>
      </c>
      <c r="AA52" s="1062" t="s">
        <v>291</v>
      </c>
      <c r="AB52" s="1062">
        <f>IF(S52&gt;=1,(W52*12+Y52)-(S52*12+U52)+1,"")</f>
        <v>12</v>
      </c>
      <c r="AC52" s="1086" t="s">
        <v>480</v>
      </c>
      <c r="AD52" s="1065">
        <f>IFERROR(ROUNDDOWN(ROUND(L52*Q52,0)*M52,0)*AB52,"")</f>
        <v>8591400</v>
      </c>
      <c r="AE52" s="1089">
        <f>IFERROR(ROUNDDOWN(ROUNDDOWN(ROUND(L52*VLOOKUP(K52,【参考】数式用２!$A$2:$AC$48,MATCH("処遇改善加算Ⅳ",【参考】数式用２!$C$4:$O$4,0)+2,0),0)*M52,0)*AB52*0.5,0), "")</f>
        <v>2647350</v>
      </c>
      <c r="AF52" s="1074" t="s">
        <v>47</v>
      </c>
      <c r="AG52" s="1065" t="str">
        <f>IF(AND(AQ52&lt;&gt;"対象外", P52&lt;&gt;""),ROUNDDOWN(ROUND(L52*VLOOKUP(K52,【参考】数式用２!$A$2:$K$48,MATCH("ベア加算あり",【参考】数式用２!$C$4:$K$4,0)+2,0),0)*M52,0)*AB52,"")</f>
        <v/>
      </c>
      <c r="AH52" s="1083"/>
      <c r="AI52" s="1074" t="s">
        <v>47</v>
      </c>
      <c r="AJ52" s="1074" t="s">
        <v>481</v>
      </c>
      <c r="AK52" s="1077">
        <v>1</v>
      </c>
      <c r="AL52" s="1080" t="s">
        <v>489</v>
      </c>
      <c r="AM52" s="690" t="str">
        <f t="shared" ref="AM52" si="27">IF(Q52="","",IF(Q52&lt;O52,"！加算の要件上は問題ありませんが、令和６年度末の加算率と比較して、令和７年度の加算率が低くなっています。",""))</f>
        <v/>
      </c>
      <c r="AN52" s="385"/>
      <c r="AO52" s="1094" t="str">
        <f>IF(K52&lt;&gt;"","Q列に色付け","")</f>
        <v>Q列に色付け</v>
      </c>
      <c r="AP52" s="1058" t="str">
        <f>IF(AND(AE52&lt;&gt;0,AE52&lt;&gt;""),IF(AF52="○","入力済","未入力"),"")</f>
        <v>入力済</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対象</v>
      </c>
      <c r="AV52" s="836">
        <f>IF(AND(P52&lt;&gt;"処遇改善加算Ⅲ",P52&lt;&gt;"処遇改善加算Ⅳ", P52&lt;&gt;"", AU52&lt;&gt;"対象外"), 1,"")</f>
        <v>1</v>
      </c>
      <c r="AW52" s="836" t="str">
        <f>IFERROR("_"&amp;VLOOKUP(K52, 【参考】数式用２!$AG$2:$AH$48, 2, FALSE), "")</f>
        <v>_16</v>
      </c>
      <c r="AX52" s="1097" t="str">
        <f>IF(AND(P52="処遇改善加算Ⅰ", AL52=""), "未入力","入力済")</f>
        <v>入力済</v>
      </c>
      <c r="AY52" s="1094" t="str">
        <f>G52</f>
        <v>東京都</v>
      </c>
      <c r="AZ52"/>
      <c r="BA52"/>
      <c r="BB52"/>
      <c r="BC52"/>
      <c r="BD52"/>
      <c r="BE52"/>
      <c r="BF52"/>
      <c r="BG52"/>
    </row>
    <row r="53" spans="1:59" ht="1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IF(基本情報入力シート!B52="", "",基本情報入力シート!B52)</f>
        <v>1111111118</v>
      </c>
      <c r="C56" s="1110"/>
      <c r="D56" s="1110"/>
      <c r="E56" s="1110"/>
      <c r="F56" s="1110"/>
      <c r="G56" s="1110" t="str">
        <f>IF(基本情報入力シート!L52="", "",基本情報入力シート!L52)</f>
        <v>東京都</v>
      </c>
      <c r="H56" s="1110" t="str">
        <f>IF(基本情報入力シート!Q52="", "",基本情報入力シート!Q52)</f>
        <v>東京都</v>
      </c>
      <c r="I56" s="1110" t="str">
        <f>IF(基本情報入力シート!V52="", "",基本情報入力シート!V52)</f>
        <v>千代田区</v>
      </c>
      <c r="J56" s="1110" t="str">
        <f>IF(基本情報入力シート!W52="", "",基本情報入力シート!W52)</f>
        <v>○○リハ</v>
      </c>
      <c r="K56" s="1110" t="str">
        <f>IF(基本情報入力シート!X52="", "",基本情報入力シート!X52)</f>
        <v>介護予防通所リハビリテーション</v>
      </c>
      <c r="L56" s="1115">
        <f>IF(基本情報入力シート!AC52=0, "",基本情報入力シート!AC52)</f>
        <v>750000</v>
      </c>
      <c r="M56" s="1118">
        <f>IF(基本情報入力シート!AD52="", "",基本情報入力シート!AD52)</f>
        <v>11.1</v>
      </c>
      <c r="N56" s="1103" t="s">
        <v>495</v>
      </c>
      <c r="O56" s="1106">
        <f>IFERROR(VLOOKUP(K56,【参考】数式用２!$A$2:$AD$48,MATCH(N56,【参考】数式用２!$C$4:$AD$4,0)+2,0),"")</f>
        <v>5.6000000000000001E-2</v>
      </c>
      <c r="P56" s="1055" t="s">
        <v>476</v>
      </c>
      <c r="Q56" s="1068">
        <f>IFERROR(VLOOKUP(K56,【参考】数式用２!$A$2:$AC$48,MATCH(P56,【参考】数式用２!$C$4:$AC$4,0)+2,0),"")</f>
        <v>8.5999999999999993E-2</v>
      </c>
      <c r="R56" s="1071" t="s">
        <v>388</v>
      </c>
      <c r="S56" s="1059">
        <v>7</v>
      </c>
      <c r="T56" s="1062" t="s">
        <v>477</v>
      </c>
      <c r="U56" s="1059">
        <v>4</v>
      </c>
      <c r="V56" s="1062" t="s">
        <v>478</v>
      </c>
      <c r="W56" s="1059">
        <v>8</v>
      </c>
      <c r="X56" s="1062" t="s">
        <v>477</v>
      </c>
      <c r="Y56" s="1059">
        <v>3</v>
      </c>
      <c r="Z56" s="1062" t="s">
        <v>479</v>
      </c>
      <c r="AA56" s="1062" t="s">
        <v>291</v>
      </c>
      <c r="AB56" s="1062">
        <f>IF(S56&gt;=1,(W56*12+Y56)-(S56*12+U56)+1,"")</f>
        <v>12</v>
      </c>
      <c r="AC56" s="1086" t="s">
        <v>480</v>
      </c>
      <c r="AD56" s="1065">
        <f>IFERROR(ROUNDDOWN(ROUND(L56*Q56,0)*M56,0)*AB56,"")</f>
        <v>8591400</v>
      </c>
      <c r="AE56" s="1089">
        <f>IFERROR(ROUNDDOWN(ROUNDDOWN(ROUND(L56*VLOOKUP(K56,【参考】数式用２!$A$2:$AC$48,MATCH("処遇改善加算Ⅳ",【参考】数式用２!$C$4:$O$4,0)+2,0),0)*M56,0)*AB56*0.5,0), "")</f>
        <v>2647350</v>
      </c>
      <c r="AF56" s="1074" t="s">
        <v>47</v>
      </c>
      <c r="AG56" s="1065">
        <f>IF(AND(AQ56&lt;&gt;"対象外", P56&lt;&gt;""),ROUNDDOWN(ROUND(L56*VLOOKUP(K56,【参考】数式用２!$A$2:$K$48,MATCH("ベア加算あり",【参考】数式用２!$C$4:$K$4,0)+2,0),0)*M56,0)*AB56,"")</f>
        <v>999000</v>
      </c>
      <c r="AH56" s="1083" t="s">
        <v>47</v>
      </c>
      <c r="AI56" s="1074" t="s">
        <v>47</v>
      </c>
      <c r="AJ56" s="1074" t="s">
        <v>481</v>
      </c>
      <c r="AK56" s="1077"/>
      <c r="AL56" s="1080" t="s">
        <v>489</v>
      </c>
      <c r="AM56" s="690" t="str">
        <f t="shared" ref="AM56" si="30">IF(Q56="","",IF(Q56&lt;O56,"！加算の要件上は問題ありませんが、令和６年度末の加算率と比較して、令和７年度の加算率が低くなっています。",""))</f>
        <v/>
      </c>
      <c r="AN56" s="385"/>
      <c r="AO56" s="1094" t="str">
        <f>IF(K56&lt;&gt;"","Q列に色付け","")</f>
        <v>Q列に色付け</v>
      </c>
      <c r="AP56" s="1058" t="str">
        <f>IF(AND(AE56&lt;&gt;0,AE56&lt;&gt;""),IF(AF56="○","入力済","未入力"),"")</f>
        <v>入力済</v>
      </c>
      <c r="AQ56" s="912" t="str">
        <f>IFERROR((VLOOKUP(N56, 【参考】数式用２!$BE$5:$BE$13, 1,FALSE)), "対象外")</f>
        <v>処遇改善加算Ⅴ（８）</v>
      </c>
      <c r="AR56" s="836" t="str">
        <f>IF(AG56&lt;&gt;"",IF(AH56="○","入力済","未入力"),"")</f>
        <v>入力済</v>
      </c>
      <c r="AS56" s="836" t="str">
        <f>IF(AND(P56&lt;&gt;"", AI56=""), "未入力", "入力済")</f>
        <v>入力済</v>
      </c>
      <c r="AT56" s="836" t="str">
        <f>IF(AND(P56&lt;&gt;"", P56&lt;&gt;"処遇改善加算Ⅳ", AJ56=""), "未入力", "入力済")</f>
        <v>入力済</v>
      </c>
      <c r="AU56" s="836" t="str">
        <f>IFERROR(VLOOKUP(K56, 【参考】数式用２!$BB$5:$BC$48, 2, FALSE), "")</f>
        <v>対象外</v>
      </c>
      <c r="AV56" s="836" t="str">
        <f>IF(AND(P56&lt;&gt;"処遇改善加算Ⅲ",P56&lt;&gt;"処遇改善加算Ⅳ", P56&lt;&gt;"", AU56&lt;&gt;"対象外"), 1,"")</f>
        <v/>
      </c>
      <c r="AW56" s="836" t="str">
        <f>IFERROR("_"&amp;VLOOKUP(K56, 【参考】数式用２!$AG$2:$AH$48, 2, FALSE), "")</f>
        <v>_66</v>
      </c>
      <c r="AX56" s="1097" t="str">
        <f>IF(AND(P56="処遇改善加算Ⅰ", AL56=""), "未入力","入力済")</f>
        <v>入力済</v>
      </c>
      <c r="AY56" s="1094" t="str">
        <f>G56</f>
        <v>東京都</v>
      </c>
      <c r="AZ56"/>
      <c r="BA56"/>
      <c r="BB56"/>
      <c r="BC56"/>
      <c r="BD56"/>
      <c r="BE56"/>
      <c r="BF56"/>
      <c r="BG56"/>
    </row>
    <row r="57" spans="1:59" ht="1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IF(基本情報入力シート!B53="", "",基本情報入力シート!B53)</f>
        <v>1111111119</v>
      </c>
      <c r="C60" s="1110"/>
      <c r="D60" s="1110"/>
      <c r="E60" s="1110"/>
      <c r="F60" s="1110"/>
      <c r="G60" s="1110" t="str">
        <f>IF(基本情報入力シート!L53="", "",基本情報入力シート!L53)</f>
        <v>東京都</v>
      </c>
      <c r="H60" s="1110" t="str">
        <f>IF(基本情報入力シート!Q53="", "",基本情報入力シート!Q53)</f>
        <v>東京都</v>
      </c>
      <c r="I60" s="1110" t="str">
        <f>IF(基本情報入力シート!V53="", "",基本情報入力シート!V53)</f>
        <v>千代田区</v>
      </c>
      <c r="J60" s="1110" t="str">
        <f>IF(基本情報入力シート!W53="", "",基本情報入力シート!W53)</f>
        <v>○○の杜</v>
      </c>
      <c r="K60" s="1110" t="str">
        <f>IF(基本情報入力シート!X53="", "",基本情報入力シート!X53)</f>
        <v>特定施設入居者生活介護</v>
      </c>
      <c r="L60" s="1115">
        <f>IF(基本情報入力シート!AC53=0, "",基本情報入力シート!AC53)</f>
        <v>750000</v>
      </c>
      <c r="M60" s="1118">
        <f>IF(基本情報入力シート!AD53="", "",基本情報入力シート!AD53)</f>
        <v>10.9</v>
      </c>
      <c r="N60" s="1103" t="s">
        <v>496</v>
      </c>
      <c r="O60" s="1106">
        <f>IFERROR(VLOOKUP(K60,【参考】数式用２!$A$2:$AD$48,MATCH(N60,【参考】数式用２!$C$4:$AD$4,0)+2,0),"")</f>
        <v>7.2999999999999995E-2</v>
      </c>
      <c r="P60" s="1055" t="s">
        <v>476</v>
      </c>
      <c r="Q60" s="1068">
        <f>IFERROR(VLOOKUP(K60,【参考】数式用２!$A$2:$AC$48,MATCH(P60,【参考】数式用２!$C$4:$AC$4,0)+2,0),"")</f>
        <v>0.128</v>
      </c>
      <c r="R60" s="1071" t="s">
        <v>388</v>
      </c>
      <c r="S60" s="1059">
        <v>7</v>
      </c>
      <c r="T60" s="1062" t="s">
        <v>477</v>
      </c>
      <c r="U60" s="1059">
        <v>4</v>
      </c>
      <c r="V60" s="1062" t="s">
        <v>478</v>
      </c>
      <c r="W60" s="1059">
        <v>8</v>
      </c>
      <c r="X60" s="1062" t="s">
        <v>477</v>
      </c>
      <c r="Y60" s="1059">
        <v>3</v>
      </c>
      <c r="Z60" s="1062" t="s">
        <v>479</v>
      </c>
      <c r="AA60" s="1062" t="s">
        <v>291</v>
      </c>
      <c r="AB60" s="1062">
        <f>IF(S60&gt;=1,(W60*12+Y60)-(S60*12+U60)+1,"")</f>
        <v>12</v>
      </c>
      <c r="AC60" s="1086" t="s">
        <v>480</v>
      </c>
      <c r="AD60" s="1065">
        <f>IFERROR(ROUNDDOWN(ROUND(L60*Q60,0)*M60,0)*AB60,"")</f>
        <v>12556800</v>
      </c>
      <c r="AE60" s="1089">
        <f>IFERROR(ROUNDDOWN(ROUNDDOWN(ROUND(L60*VLOOKUP(K60,【参考】数式用２!$A$2:$AC$48,MATCH("処遇改善加算Ⅳ",【参考】数式用２!$C$4:$O$4,0)+2,0),0)*M60,0)*AB60*0.5,0), "")</f>
        <v>4316400</v>
      </c>
      <c r="AF60" s="1074" t="s">
        <v>47</v>
      </c>
      <c r="AG60" s="1065" t="str">
        <f>IF(AND(AQ60&lt;&gt;"対象外", P60&lt;&gt;""),ROUNDDOWN(ROUND(L60*VLOOKUP(K60,【参考】数式用２!$A$2:$K$48,MATCH("ベア加算あり",【参考】数式用２!$C$4:$K$4,0)+2,0),0)*M60,0)*AB60,"")</f>
        <v/>
      </c>
      <c r="AH60" s="1083"/>
      <c r="AI60" s="1074" t="s">
        <v>481</v>
      </c>
      <c r="AJ60" s="1074" t="s">
        <v>47</v>
      </c>
      <c r="AK60" s="1077">
        <v>1</v>
      </c>
      <c r="AL60" s="1080" t="s">
        <v>489</v>
      </c>
      <c r="AM60" s="690" t="str">
        <f t="shared" ref="AM60" si="33">IF(Q60="","",IF(Q60&lt;O60,"！加算の要件上は問題ありませんが、令和６年度末の加算率と比較して、令和７年度の加算率が低くなっています。",""))</f>
        <v/>
      </c>
      <c r="AN60" s="385"/>
      <c r="AO60" s="1094" t="str">
        <f>IF(K60&lt;&gt;"","Q列に色付け","")</f>
        <v>Q列に色付け</v>
      </c>
      <c r="AP60" s="1058" t="str">
        <f>IF(AND(AE60&lt;&gt;0,AE60&lt;&gt;""),IF(AF60="○","入力済","未入力"),"")</f>
        <v>入力済</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対象</v>
      </c>
      <c r="AV60" s="836">
        <f>IF(AND(P60&lt;&gt;"処遇改善加算Ⅲ",P60&lt;&gt;"処遇改善加算Ⅳ", P60&lt;&gt;"", AU60&lt;&gt;"対象外"), 1,"")</f>
        <v>1</v>
      </c>
      <c r="AW60" s="836" t="str">
        <f>IFERROR("_"&amp;VLOOKUP(K60, 【参考】数式用２!$AG$2:$AH$48, 2, FALSE), "")</f>
        <v>_33</v>
      </c>
      <c r="AX60" s="1097" t="str">
        <f>IF(AND(P60="処遇改善加算Ⅰ", AL60=""), "未入力","入力済")</f>
        <v>入力済</v>
      </c>
      <c r="AY60" s="1094" t="str">
        <f>G60</f>
        <v>東京都</v>
      </c>
      <c r="AZ60"/>
      <c r="BA60"/>
      <c r="BB60"/>
      <c r="BC60"/>
      <c r="BD60"/>
      <c r="BE60"/>
      <c r="BF60"/>
      <c r="BG60"/>
    </row>
    <row r="61" spans="1:59" ht="1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IF(基本情報入力シート!B54="", "",基本情報入力シート!B54)</f>
        <v>1111111120</v>
      </c>
      <c r="C64" s="1110"/>
      <c r="D64" s="1110"/>
      <c r="E64" s="1110"/>
      <c r="F64" s="1110"/>
      <c r="G64" s="1110" t="str">
        <f>IF(基本情報入力シート!L54="", "",基本情報入力シート!L54)</f>
        <v>東京都</v>
      </c>
      <c r="H64" s="1110" t="str">
        <f>IF(基本情報入力シート!Q54="", "",基本情報入力シート!Q54)</f>
        <v>東京都</v>
      </c>
      <c r="I64" s="1110" t="str">
        <f>IF(基本情報入力シート!V54="", "",基本情報入力シート!V54)</f>
        <v>千代田区</v>
      </c>
      <c r="J64" s="1110" t="str">
        <f>IF(基本情報入力シート!W54="", "",基本情報入力シート!W54)</f>
        <v>○○の杜</v>
      </c>
      <c r="K64" s="1110" t="str">
        <f>IF(基本情報入力シート!X54="", "",基本情報入力シート!X54)</f>
        <v>特定施設入居者生活介護（短期利用型）</v>
      </c>
      <c r="L64" s="1115">
        <f>IF(基本情報入力シート!AC54=0, "",基本情報入力シート!AC54)</f>
        <v>750000</v>
      </c>
      <c r="M64" s="1118">
        <f>IF(基本情報入力シート!AD54="", "",基本情報入力シート!AD54)</f>
        <v>10.9</v>
      </c>
      <c r="N64" s="1103" t="s">
        <v>497</v>
      </c>
      <c r="O64" s="1106">
        <f>IFERROR(VLOOKUP(K64,【参考】数式用２!$A$2:$AD$48,MATCH(N64,【参考】数式用２!$C$4:$AD$4,0)+2,0),"")</f>
        <v>6.4000000000000001E-2</v>
      </c>
      <c r="P64" s="1055" t="s">
        <v>476</v>
      </c>
      <c r="Q64" s="1068">
        <f>IFERROR(VLOOKUP(K64,【参考】数式用２!$A$2:$AC$48,MATCH(P64,【参考】数式用２!$C$4:$AC$4,0)+2,0),"")</f>
        <v>0.128</v>
      </c>
      <c r="R64" s="1071" t="s">
        <v>388</v>
      </c>
      <c r="S64" s="1059">
        <v>7</v>
      </c>
      <c r="T64" s="1062" t="s">
        <v>477</v>
      </c>
      <c r="U64" s="1059">
        <v>4</v>
      </c>
      <c r="V64" s="1062" t="s">
        <v>478</v>
      </c>
      <c r="W64" s="1059">
        <v>8</v>
      </c>
      <c r="X64" s="1062" t="s">
        <v>477</v>
      </c>
      <c r="Y64" s="1059">
        <v>3</v>
      </c>
      <c r="Z64" s="1062" t="s">
        <v>479</v>
      </c>
      <c r="AA64" s="1062" t="s">
        <v>291</v>
      </c>
      <c r="AB64" s="1062">
        <f>IF(S64&gt;=1,(W64*12+Y64)-(S64*12+U64)+1,"")</f>
        <v>12</v>
      </c>
      <c r="AC64" s="1086" t="s">
        <v>480</v>
      </c>
      <c r="AD64" s="1065">
        <f>IFERROR(ROUNDDOWN(ROUND(L64*Q64,0)*M64,0)*AB64,"")</f>
        <v>12556800</v>
      </c>
      <c r="AE64" s="1089">
        <f>IFERROR(ROUNDDOWN(ROUNDDOWN(ROUND(L64*VLOOKUP(K64,【参考】数式用２!$A$2:$AC$48,MATCH("処遇改善加算Ⅳ",【参考】数式用２!$C$4:$O$4,0)+2,0),0)*M64,0)*AB64*0.5,0), "")</f>
        <v>4316400</v>
      </c>
      <c r="AF64" s="1074" t="s">
        <v>47</v>
      </c>
      <c r="AG64" s="1065">
        <f>IF(AND(AQ64&lt;&gt;"対象外", P64&lt;&gt;""),ROUNDDOWN(ROUND(L64*VLOOKUP(K64,【参考】数式用２!$A$2:$K$48,MATCH("ベア加算あり",【参考】数式用２!$C$4:$K$4,0)+2,0),0)*M64,0)*AB64,"")</f>
        <v>1471500</v>
      </c>
      <c r="AH64" s="1083" t="s">
        <v>47</v>
      </c>
      <c r="AI64" s="1074" t="s">
        <v>481</v>
      </c>
      <c r="AJ64" s="1074" t="s">
        <v>481</v>
      </c>
      <c r="AK64" s="1077"/>
      <c r="AL64" s="1080" t="s">
        <v>489</v>
      </c>
      <c r="AM64" s="690" t="str">
        <f t="shared" ref="AM64" si="36">IF(Q64="","",IF(Q64&lt;O64,"！加算の要件上は問題ありませんが、令和６年度末の加算率と比較して、令和７年度の加算率が低くなっています。",""))</f>
        <v/>
      </c>
      <c r="AN64" s="385"/>
      <c r="AO64" s="1094" t="str">
        <f>IF(K64&lt;&gt;"","Q列に色付け","")</f>
        <v>Q列に色付け</v>
      </c>
      <c r="AP64" s="1058" t="str">
        <f>IF(AND(AE64&lt;&gt;0,AE64&lt;&gt;""),IF(AF64="○","入力済","未入力"),"")</f>
        <v>入力済</v>
      </c>
      <c r="AQ64" s="912" t="str">
        <f>IFERROR((VLOOKUP(N64, 【参考】数式用２!$BE$5:$BE$13, 1,FALSE)), "対象外")</f>
        <v>処遇改善加算Ⅴ（10）</v>
      </c>
      <c r="AR64" s="836" t="str">
        <f>IF(AG64&lt;&gt;"",IF(AH64="○","入力済","未入力"),"")</f>
        <v>入力済</v>
      </c>
      <c r="AS64" s="836" t="str">
        <f>IF(AND(P64&lt;&gt;"", AI64=""), "未入力", "入力済")</f>
        <v>入力済</v>
      </c>
      <c r="AT64" s="836" t="str">
        <f>IF(AND(P64&lt;&gt;"", P64&lt;&gt;"処遇改善加算Ⅳ", AJ64=""), "未入力", "入力済")</f>
        <v>入力済</v>
      </c>
      <c r="AU64" s="836" t="str">
        <f>IFERROR(VLOOKUP(K64, 【参考】数式用２!$BB$5:$BC$48, 2, FALSE), "")</f>
        <v>対象外</v>
      </c>
      <c r="AV64" s="836" t="str">
        <f>IF(AND(P64&lt;&gt;"処遇改善加算Ⅲ",P64&lt;&gt;"処遇改善加算Ⅳ", P64&lt;&gt;"", AU64&lt;&gt;"対象外"), 1,"")</f>
        <v/>
      </c>
      <c r="AW64" s="836" t="str">
        <f>IFERROR("_"&amp;VLOOKUP(K64, 【参考】数式用２!$AG$2:$AH$48, 2, FALSE), "")</f>
        <v>_27</v>
      </c>
      <c r="AX64" s="1097" t="str">
        <f>IF(AND(P64="処遇改善加算Ⅰ", AL64=""), "未入力","入力済")</f>
        <v>入力済</v>
      </c>
      <c r="AY64" s="1094" t="str">
        <f>G64</f>
        <v>東京都</v>
      </c>
      <c r="AZ64"/>
      <c r="BA64"/>
      <c r="BB64"/>
      <c r="BC64"/>
      <c r="BD64"/>
      <c r="BE64"/>
      <c r="BF64"/>
      <c r="BG64"/>
    </row>
    <row r="65" spans="1:59" ht="1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IF(基本情報入力シート!B55="", "",基本情報入力シート!B55)</f>
        <v>1111111121</v>
      </c>
      <c r="C68" s="1110"/>
      <c r="D68" s="1110"/>
      <c r="E68" s="1110"/>
      <c r="F68" s="1110"/>
      <c r="G68" s="1110" t="str">
        <f>IF(基本情報入力シート!L55="", "",基本情報入力シート!L55)</f>
        <v>東京都</v>
      </c>
      <c r="H68" s="1110" t="str">
        <f>IF(基本情報入力シート!Q55="", "",基本情報入力シート!Q55)</f>
        <v>東京都</v>
      </c>
      <c r="I68" s="1110" t="str">
        <f>IF(基本情報入力シート!V55="", "",基本情報入力シート!V55)</f>
        <v>千代田区</v>
      </c>
      <c r="J68" s="1110" t="str">
        <f>IF(基本情報入力シート!W55="", "",基本情報入力シート!W55)</f>
        <v>○○の杜</v>
      </c>
      <c r="K68" s="1110" t="str">
        <f>IF(基本情報入力シート!X55="", "",基本情報入力シート!X55)</f>
        <v>介護予防特定施設入居者生活介護</v>
      </c>
      <c r="L68" s="1115">
        <f>IF(基本情報入力シート!AC55=0, "",基本情報入力シート!AC55)</f>
        <v>750000</v>
      </c>
      <c r="M68" s="1118">
        <f>IF(基本情報入力シート!AD55="", "",基本情報入力シート!AD55)</f>
        <v>10.9</v>
      </c>
      <c r="N68" s="1103" t="s">
        <v>498</v>
      </c>
      <c r="O68" s="1106">
        <f>IFERROR(VLOOKUP(K68,【参考】数式用２!$A$2:$AD$48,MATCH(N68,【参考】数式用２!$C$4:$AD$4,0)+2,0),"")</f>
        <v>7.2999999999999995E-2</v>
      </c>
      <c r="P68" s="1055" t="s">
        <v>476</v>
      </c>
      <c r="Q68" s="1068">
        <f>IFERROR(VLOOKUP(K68,【参考】数式用２!$A$2:$AC$48,MATCH(P68,【参考】数式用２!$C$4:$AC$4,0)+2,0),"")</f>
        <v>0.128</v>
      </c>
      <c r="R68" s="1071" t="s">
        <v>388</v>
      </c>
      <c r="S68" s="1059">
        <v>7</v>
      </c>
      <c r="T68" s="1062" t="s">
        <v>477</v>
      </c>
      <c r="U68" s="1059">
        <v>4</v>
      </c>
      <c r="V68" s="1062" t="s">
        <v>478</v>
      </c>
      <c r="W68" s="1059">
        <v>8</v>
      </c>
      <c r="X68" s="1062" t="s">
        <v>477</v>
      </c>
      <c r="Y68" s="1059">
        <v>3</v>
      </c>
      <c r="Z68" s="1062" t="s">
        <v>479</v>
      </c>
      <c r="AA68" s="1062" t="s">
        <v>291</v>
      </c>
      <c r="AB68" s="1062">
        <f>IF(S68&gt;=1,(W68*12+Y68)-(S68*12+U68)+1,"")</f>
        <v>12</v>
      </c>
      <c r="AC68" s="1086" t="s">
        <v>480</v>
      </c>
      <c r="AD68" s="1065">
        <f>IFERROR(ROUNDDOWN(ROUND(L68*Q68,0)*M68,0)*AB68,"")</f>
        <v>12556800</v>
      </c>
      <c r="AE68" s="1089">
        <f>IFERROR(ROUNDDOWN(ROUNDDOWN(ROUND(L68*VLOOKUP(K68,【参考】数式用２!$A$2:$AC$48,MATCH("処遇改善加算Ⅳ",【参考】数式用２!$C$4:$O$4,0)+2,0),0)*M68,0)*AB68*0.5,0), "")</f>
        <v>4316400</v>
      </c>
      <c r="AF68" s="1074" t="s">
        <v>47</v>
      </c>
      <c r="AG68" s="1065">
        <f>IF(AND(AQ68&lt;&gt;"対象外", P68&lt;&gt;""),ROUNDDOWN(ROUND(L68*VLOOKUP(K68,【参考】数式用２!$A$2:$K$48,MATCH("ベア加算あり",【参考】数式用２!$C$4:$K$4,0)+2,0),0)*M68,0)*AB68,"")</f>
        <v>1471500</v>
      </c>
      <c r="AH68" s="1083" t="s">
        <v>47</v>
      </c>
      <c r="AI68" s="1074" t="s">
        <v>47</v>
      </c>
      <c r="AJ68" s="1074" t="s">
        <v>481</v>
      </c>
      <c r="AK68" s="1077"/>
      <c r="AL68" s="1080" t="s">
        <v>489</v>
      </c>
      <c r="AM68" s="690" t="str">
        <f t="shared" ref="AM68" si="39">IF(Q68="","",IF(Q68&lt;O68,"！加算の要件上は問題ありませんが、令和６年度末の加算率と比較して、令和７年度の加算率が低くなっています。",""))</f>
        <v/>
      </c>
      <c r="AN68" s="385"/>
      <c r="AO68" s="1094" t="str">
        <f>IF(K68&lt;&gt;"","Q列に色付け","")</f>
        <v>Q列に色付け</v>
      </c>
      <c r="AP68" s="1058" t="str">
        <f>IF(AND(AE68&lt;&gt;0,AE68&lt;&gt;""),IF(AF68="○","入力済","未入力"),"")</f>
        <v>入力済</v>
      </c>
      <c r="AQ68" s="912" t="str">
        <f>IFERROR((VLOOKUP(N68, 【参考】数式用２!$BE$5:$BE$13, 1,FALSE)), "対象外")</f>
        <v>処遇改善加算Ⅴ（11）</v>
      </c>
      <c r="AR68" s="836" t="str">
        <f>IF(AG68&lt;&gt;"",IF(AH68="○","入力済","未入力"),"")</f>
        <v>入力済</v>
      </c>
      <c r="AS68" s="836" t="str">
        <f>IF(AND(P68&lt;&gt;"", AI68=""), "未入力", "入力済")</f>
        <v>入力済</v>
      </c>
      <c r="AT68" s="836" t="str">
        <f>IF(AND(P68&lt;&gt;"", P68&lt;&gt;"処遇改善加算Ⅳ", AJ68=""), "未入力", "入力済")</f>
        <v>入力済</v>
      </c>
      <c r="AU68" s="836" t="str">
        <f>IFERROR(VLOOKUP(K68, 【参考】数式用２!$BB$5:$BC$48, 2, FALSE), "")</f>
        <v>対象外</v>
      </c>
      <c r="AV68" s="836" t="str">
        <f>IF(AND(P68&lt;&gt;"処遇改善加算Ⅲ",P68&lt;&gt;"処遇改善加算Ⅳ", P68&lt;&gt;"", AU68&lt;&gt;"対象外"), 1,"")</f>
        <v/>
      </c>
      <c r="AW68" s="836" t="str">
        <f>IFERROR("_"&amp;VLOOKUP(K68, 【参考】数式用２!$AG$2:$AH$48, 2, FALSE), "")</f>
        <v>_35</v>
      </c>
      <c r="AX68" s="1097" t="str">
        <f>IF(AND(P68="処遇改善加算Ⅰ", AL68=""), "未入力","入力済")</f>
        <v>入力済</v>
      </c>
      <c r="AY68" s="1094" t="str">
        <f>G68</f>
        <v>東京都</v>
      </c>
      <c r="AZ68"/>
      <c r="BA68"/>
      <c r="BB68"/>
      <c r="BC68"/>
      <c r="BD68"/>
      <c r="BE68"/>
      <c r="BF68"/>
      <c r="BG68"/>
    </row>
    <row r="69" spans="1:59" ht="1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IF(基本情報入力シート!B56="", "",基本情報入力シート!B56)</f>
        <v>1111111122</v>
      </c>
      <c r="C72" s="1110"/>
      <c r="D72" s="1110"/>
      <c r="E72" s="1110"/>
      <c r="F72" s="1110"/>
      <c r="G72" s="1110" t="str">
        <f>IF(基本情報入力シート!L56="", "",基本情報入力シート!L56)</f>
        <v>千代田区</v>
      </c>
      <c r="H72" s="1110" t="str">
        <f>IF(基本情報入力シート!Q56="", "",基本情報入力シート!Q56)</f>
        <v>東京都</v>
      </c>
      <c r="I72" s="1110" t="str">
        <f>IF(基本情報入力シート!V56="", "",基本情報入力シート!V56)</f>
        <v>千代田区</v>
      </c>
      <c r="J72" s="1110" t="str">
        <f>IF(基本情報入力シート!W56="", "",基本情報入力シート!W56)</f>
        <v>○○の杜</v>
      </c>
      <c r="K72" s="1110" t="str">
        <f>IF(基本情報入力シート!X56="", "",基本情報入力シート!X56)</f>
        <v>地域密着型特定施設入居者生活介護</v>
      </c>
      <c r="L72" s="1115">
        <f>IF(基本情報入力シート!AC56=0, "",基本情報入力シート!AC56)</f>
        <v>750000</v>
      </c>
      <c r="M72" s="1118">
        <f>IF(基本情報入力シート!AD56="", "",基本情報入力シート!AD56)</f>
        <v>10.9</v>
      </c>
      <c r="N72" s="1103" t="s">
        <v>499</v>
      </c>
      <c r="O72" s="1106">
        <f>IFERROR(VLOOKUP(K72,【参考】数式用２!$A$2:$AD$48,MATCH(N72,【参考】数式用２!$C$4:$AD$4,0)+2,0),"")</f>
        <v>5.7999999999999996E-2</v>
      </c>
      <c r="P72" s="1055" t="s">
        <v>476</v>
      </c>
      <c r="Q72" s="1068">
        <f>IFERROR(VLOOKUP(K72,【参考】数式用２!$A$2:$AC$48,MATCH(P72,【参考】数式用２!$C$4:$AC$4,0)+2,0),"")</f>
        <v>0.128</v>
      </c>
      <c r="R72" s="1071" t="s">
        <v>388</v>
      </c>
      <c r="S72" s="1059">
        <v>7</v>
      </c>
      <c r="T72" s="1062" t="s">
        <v>477</v>
      </c>
      <c r="U72" s="1059">
        <v>4</v>
      </c>
      <c r="V72" s="1062" t="s">
        <v>478</v>
      </c>
      <c r="W72" s="1059">
        <v>8</v>
      </c>
      <c r="X72" s="1062" t="s">
        <v>477</v>
      </c>
      <c r="Y72" s="1059">
        <v>3</v>
      </c>
      <c r="Z72" s="1062" t="s">
        <v>479</v>
      </c>
      <c r="AA72" s="1062" t="s">
        <v>291</v>
      </c>
      <c r="AB72" s="1062">
        <f>IF(S72&gt;=1,(W72*12+Y72)-(S72*12+U72)+1,"")</f>
        <v>12</v>
      </c>
      <c r="AC72" s="1086" t="s">
        <v>480</v>
      </c>
      <c r="AD72" s="1065">
        <f>IFERROR(ROUNDDOWN(ROUND(L72*Q72,0)*M72,0)*AB72,"")</f>
        <v>12556800</v>
      </c>
      <c r="AE72" s="1089">
        <f>IFERROR(ROUNDDOWN(ROUNDDOWN(ROUND(L72*VLOOKUP(K72,【参考】数式用２!$A$2:$AC$48,MATCH("処遇改善加算Ⅳ",【参考】数式用２!$C$4:$O$4,0)+2,0),0)*M72,0)*AB72*0.5,0), "")</f>
        <v>4316400</v>
      </c>
      <c r="AF72" s="1074" t="s">
        <v>47</v>
      </c>
      <c r="AG72" s="1065">
        <f>IF(AND(AQ72&lt;&gt;"対象外", P72&lt;&gt;""),ROUNDDOWN(ROUND(L72*VLOOKUP(K72,【参考】数式用２!$A$2:$K$48,MATCH("ベア加算あり",【参考】数式用２!$C$4:$K$4,0)+2,0),0)*M72,0)*AB72,"")</f>
        <v>1471500</v>
      </c>
      <c r="AH72" s="1083" t="s">
        <v>47</v>
      </c>
      <c r="AI72" s="1074" t="s">
        <v>47</v>
      </c>
      <c r="AJ72" s="1074" t="s">
        <v>47</v>
      </c>
      <c r="AK72" s="1077">
        <v>1</v>
      </c>
      <c r="AL72" s="1080" t="s">
        <v>489</v>
      </c>
      <c r="AM72" s="690" t="str">
        <f t="shared" ref="AM72" si="42">IF(Q72="","",IF(Q72&lt;O72,"！加算の要件上は問題ありませんが、令和６年度末の加算率と比較して、令和７年度の加算率が低くなっています。",""))</f>
        <v/>
      </c>
      <c r="AN72" s="385"/>
      <c r="AO72" s="1094" t="str">
        <f>IF(K72&lt;&gt;"","Q列に色付け","")</f>
        <v>Q列に色付け</v>
      </c>
      <c r="AP72" s="1058" t="str">
        <f>IF(AND(AE72&lt;&gt;0,AE72&lt;&gt;""),IF(AF72="○","入力済","未入力"),"")</f>
        <v>入力済</v>
      </c>
      <c r="AQ72" s="912" t="str">
        <f>IFERROR((VLOOKUP(N72, 【参考】数式用２!$BE$5:$BE$13, 1,FALSE)), "対象外")</f>
        <v>処遇改善加算Ⅴ（12）</v>
      </c>
      <c r="AR72" s="836" t="str">
        <f>IF(AG72&lt;&gt;"",IF(AH72="○","入力済","未入力"),"")</f>
        <v>入力済</v>
      </c>
      <c r="AS72" s="836" t="str">
        <f>IF(AND(P72&lt;&gt;"", AI72=""), "未入力", "入力済")</f>
        <v>入力済</v>
      </c>
      <c r="AT72" s="836" t="str">
        <f>IF(AND(P72&lt;&gt;"", P72&lt;&gt;"処遇改善加算Ⅳ", AJ72=""), "未入力", "入力済")</f>
        <v>入力済</v>
      </c>
      <c r="AU72" s="836" t="str">
        <f>IFERROR(VLOOKUP(K72, 【参考】数式用２!$BB$5:$BC$48, 2, FALSE), "")</f>
        <v>対象</v>
      </c>
      <c r="AV72" s="836">
        <f>IF(AND(P72&lt;&gt;"処遇改善加算Ⅲ",P72&lt;&gt;"処遇改善加算Ⅳ", P72&lt;&gt;"", AU72&lt;&gt;"対象外"), 1,"")</f>
        <v>1</v>
      </c>
      <c r="AW72" s="836" t="str">
        <f>IFERROR("_"&amp;VLOOKUP(K72, 【参考】数式用２!$AG$2:$AH$48, 2, FALSE), "")</f>
        <v>_36</v>
      </c>
      <c r="AX72" s="1097" t="str">
        <f>IF(AND(P72="処遇改善加算Ⅰ", AL72=""), "未入力","入力済")</f>
        <v>入力済</v>
      </c>
      <c r="AY72" s="1094" t="str">
        <f>G72</f>
        <v>千代田区</v>
      </c>
      <c r="AZ72"/>
      <c r="BA72"/>
      <c r="BB72"/>
      <c r="BC72"/>
      <c r="BD72"/>
      <c r="BE72"/>
      <c r="BF72"/>
      <c r="BG72"/>
    </row>
    <row r="73" spans="1:59" ht="1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IF(基本情報入力シート!B57="", "",基本情報入力シート!B57)</f>
        <v>1111111123</v>
      </c>
      <c r="C76" s="1110"/>
      <c r="D76" s="1110"/>
      <c r="E76" s="1110"/>
      <c r="F76" s="1110"/>
      <c r="G76" s="1110" t="str">
        <f>IF(基本情報入力シート!L57="", "",基本情報入力シート!L57)</f>
        <v>千代田区</v>
      </c>
      <c r="H76" s="1110" t="str">
        <f>IF(基本情報入力シート!Q57="", "",基本情報入力シート!Q57)</f>
        <v>東京都</v>
      </c>
      <c r="I76" s="1110" t="str">
        <f>IF(基本情報入力シート!V57="", "",基本情報入力シート!V57)</f>
        <v>千代田区</v>
      </c>
      <c r="J76" s="1110" t="str">
        <f>IF(基本情報入力シート!W57="", "",基本情報入力シート!W57)</f>
        <v>○○の杜</v>
      </c>
      <c r="K76" s="1110" t="str">
        <f>IF(基本情報入力シート!X57="", "",基本情報入力シート!X57)</f>
        <v>地域密着型特定施設入居者生活介護（短期利用型）</v>
      </c>
      <c r="L76" s="1115">
        <f>IF(基本情報入力シート!AC57=0, "",基本情報入力シート!AC57)</f>
        <v>750000</v>
      </c>
      <c r="M76" s="1118">
        <f>IF(基本情報入力シート!AD57="", "",基本情報入力シート!AD57)</f>
        <v>10.9</v>
      </c>
      <c r="N76" s="1103" t="s">
        <v>500</v>
      </c>
      <c r="O76" s="1106">
        <f>IFERROR(VLOOKUP(K76,【参考】数式用２!$A$2:$AD$48,MATCH(N76,【参考】数式用２!$C$4:$AD$4,0)+2,0),"")</f>
        <v>6.0999999999999999E-2</v>
      </c>
      <c r="P76" s="1055" t="s">
        <v>476</v>
      </c>
      <c r="Q76" s="1068">
        <f>IFERROR(VLOOKUP(K76,【参考】数式用２!$A$2:$AC$48,MATCH(P76,【参考】数式用２!$C$4:$AC$4,0)+2,0),"")</f>
        <v>0.128</v>
      </c>
      <c r="R76" s="1071" t="s">
        <v>388</v>
      </c>
      <c r="S76" s="1059">
        <v>7</v>
      </c>
      <c r="T76" s="1062" t="s">
        <v>477</v>
      </c>
      <c r="U76" s="1059">
        <v>4</v>
      </c>
      <c r="V76" s="1062" t="s">
        <v>478</v>
      </c>
      <c r="W76" s="1059">
        <v>8</v>
      </c>
      <c r="X76" s="1062" t="s">
        <v>477</v>
      </c>
      <c r="Y76" s="1059">
        <v>3</v>
      </c>
      <c r="Z76" s="1062" t="s">
        <v>479</v>
      </c>
      <c r="AA76" s="1062" t="s">
        <v>291</v>
      </c>
      <c r="AB76" s="1062">
        <f>IF(S76&gt;=1,(W76*12+Y76)-(S76*12+U76)+1,"")</f>
        <v>12</v>
      </c>
      <c r="AC76" s="1086" t="s">
        <v>480</v>
      </c>
      <c r="AD76" s="1065">
        <f>IFERROR(ROUNDDOWN(ROUND(L76*Q76,0)*M76,0)*AB76,"")</f>
        <v>12556800</v>
      </c>
      <c r="AE76" s="1089">
        <f>IFERROR(ROUNDDOWN(ROUNDDOWN(ROUND(L76*VLOOKUP(K76,【参考】数式用２!$A$2:$AC$48,MATCH("処遇改善加算Ⅳ",【参考】数式用２!$C$4:$O$4,0)+2,0),0)*M76,0)*AB76*0.5,0), "")</f>
        <v>4316400</v>
      </c>
      <c r="AF76" s="1074" t="s">
        <v>47</v>
      </c>
      <c r="AG76" s="1065" t="str">
        <f>IF(AND(AQ76&lt;&gt;"対象外", P76&lt;&gt;""),ROUNDDOWN(ROUND(L76*VLOOKUP(K76,【参考】数式用２!$A$2:$K$48,MATCH("ベア加算あり",【参考】数式用２!$C$4:$K$4,0)+2,0),0)*M76,0)*AB76,"")</f>
        <v/>
      </c>
      <c r="AH76" s="1083"/>
      <c r="AI76" s="1074" t="s">
        <v>481</v>
      </c>
      <c r="AJ76" s="1074" t="s">
        <v>481</v>
      </c>
      <c r="AK76" s="1077"/>
      <c r="AL76" s="1080" t="s">
        <v>489</v>
      </c>
      <c r="AM76" s="690" t="str">
        <f t="shared" ref="AM76" si="45">IF(Q76="","",IF(Q76&lt;O76,"！加算の要件上は問題ありませんが、令和６年度末の加算率と比較して、令和７年度の加算率が低くなっています。",""))</f>
        <v/>
      </c>
      <c r="AN76" s="385"/>
      <c r="AO76" s="1094" t="str">
        <f>IF(K76&lt;&gt;"","Q列に色付け","")</f>
        <v>Q列に色付け</v>
      </c>
      <c r="AP76" s="1058" t="str">
        <f>IF(AND(AE76&lt;&gt;0,AE76&lt;&gt;""),IF(AF76="○","入力済","未入力"),"")</f>
        <v>入力済</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対象外</v>
      </c>
      <c r="AV76" s="836" t="str">
        <f>IF(AND(P76&lt;&gt;"処遇改善加算Ⅲ",P76&lt;&gt;"処遇改善加算Ⅳ", P76&lt;&gt;"", AU76&lt;&gt;"対象外"), 1,"")</f>
        <v/>
      </c>
      <c r="AW76" s="836" t="str">
        <f>IFERROR("_"&amp;VLOOKUP(K76, 【参考】数式用２!$AG$2:$AH$48, 2, FALSE), "")</f>
        <v>_28</v>
      </c>
      <c r="AX76" s="1097" t="str">
        <f>IF(AND(P76="処遇改善加算Ⅰ", AL76=""), "未入力","入力済")</f>
        <v>入力済</v>
      </c>
      <c r="AY76" s="1094" t="str">
        <f>G76</f>
        <v>千代田区</v>
      </c>
      <c r="AZ76"/>
      <c r="BA76"/>
      <c r="BB76"/>
      <c r="BC76"/>
      <c r="BD76"/>
      <c r="BE76"/>
      <c r="BF76"/>
      <c r="BG76"/>
    </row>
    <row r="77" spans="1:59" ht="1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IF(基本情報入力シート!B58="", "",基本情報入力シート!B58)</f>
        <v>1111111124</v>
      </c>
      <c r="C80" s="1110"/>
      <c r="D80" s="1110"/>
      <c r="E80" s="1110"/>
      <c r="F80" s="1110"/>
      <c r="G80" s="1110" t="str">
        <f>IF(基本情報入力シート!L58="", "",基本情報入力シート!L58)</f>
        <v>千代田区</v>
      </c>
      <c r="H80" s="1110" t="str">
        <f>IF(基本情報入力シート!Q58="", "",基本情報入力シート!Q58)</f>
        <v>東京都</v>
      </c>
      <c r="I80" s="1110" t="str">
        <f>IF(基本情報入力シート!V58="", "",基本情報入力シート!V58)</f>
        <v>千代田区</v>
      </c>
      <c r="J80" s="1110" t="str">
        <f>IF(基本情報入力シート!W58="", "",基本情報入力シート!W58)</f>
        <v>○○デイケア</v>
      </c>
      <c r="K80" s="1110" t="str">
        <f>IF(基本情報入力シート!X58="", "",基本情報入力シート!X58)</f>
        <v>認知症対応型通所介護</v>
      </c>
      <c r="L80" s="1115">
        <f>IF(基本情報入力シート!AC58=0, "",基本情報入力シート!AC58)</f>
        <v>750000</v>
      </c>
      <c r="M80" s="1118">
        <f>IF(基本情報入力シート!AD58="", "",基本情報入力シート!AD58)</f>
        <v>11.1</v>
      </c>
      <c r="N80" s="1103" t="s">
        <v>501</v>
      </c>
      <c r="O80" s="1106">
        <f>IFERROR(VLOOKUP(K80,【参考】数式用２!$A$2:$AD$48,MATCH(N80,【参考】数式用２!$C$4:$AD$4,0)+2,0),"")</f>
        <v>6.5000000000000002E-2</v>
      </c>
      <c r="P80" s="1055" t="s">
        <v>476</v>
      </c>
      <c r="Q80" s="1068">
        <f>IFERROR(VLOOKUP(K80,【参考】数式用２!$A$2:$AC$48,MATCH(P80,【参考】数式用２!$C$4:$AC$4,0)+2,0),"")</f>
        <v>0.18099999999999999</v>
      </c>
      <c r="R80" s="1071" t="s">
        <v>388</v>
      </c>
      <c r="S80" s="1059">
        <v>7</v>
      </c>
      <c r="T80" s="1062" t="s">
        <v>477</v>
      </c>
      <c r="U80" s="1059">
        <v>4</v>
      </c>
      <c r="V80" s="1062" t="s">
        <v>478</v>
      </c>
      <c r="W80" s="1059">
        <v>8</v>
      </c>
      <c r="X80" s="1062" t="s">
        <v>477</v>
      </c>
      <c r="Y80" s="1059">
        <v>3</v>
      </c>
      <c r="Z80" s="1062" t="s">
        <v>479</v>
      </c>
      <c r="AA80" s="1062" t="s">
        <v>291</v>
      </c>
      <c r="AB80" s="1062">
        <f>IF(S80&gt;=1,(W80*12+Y80)-(S80*12+U80)+1,"")</f>
        <v>12</v>
      </c>
      <c r="AC80" s="1086" t="s">
        <v>480</v>
      </c>
      <c r="AD80" s="1065">
        <f>IFERROR(ROUNDDOWN(ROUND(L80*Q80,0)*M80,0)*AB80,"")</f>
        <v>18081900</v>
      </c>
      <c r="AE80" s="1089">
        <f>IFERROR(ROUNDDOWN(ROUNDDOWN(ROUND(L80*VLOOKUP(K80,【参考】数式用２!$A$2:$AC$48,MATCH("処遇改善加算Ⅳ",【参考】数式用２!$C$4:$O$4,0)+2,0),0)*M80,0)*AB80*0.5,0), "")</f>
        <v>6093900</v>
      </c>
      <c r="AF80" s="1074" t="s">
        <v>47</v>
      </c>
      <c r="AG80" s="1065">
        <f>IF(AND(AQ80&lt;&gt;"対象外", P80&lt;&gt;""),ROUNDDOWN(ROUND(L80*VLOOKUP(K80,【参考】数式用２!$A$2:$K$48,MATCH("ベア加算あり",【参考】数式用２!$C$4:$K$4,0)+2,0),0)*M80,0)*AB80,"")</f>
        <v>2297700</v>
      </c>
      <c r="AH80" s="1083" t="s">
        <v>47</v>
      </c>
      <c r="AI80" s="1074" t="s">
        <v>481</v>
      </c>
      <c r="AJ80" s="1074" t="s">
        <v>481</v>
      </c>
      <c r="AK80" s="1077">
        <v>1</v>
      </c>
      <c r="AL80" s="1080" t="s">
        <v>489</v>
      </c>
      <c r="AM80" s="690" t="str">
        <f t="shared" ref="AM80" si="48">IF(Q80="","",IF(Q80&lt;O80,"！加算の要件上は問題ありませんが、令和６年度末の加算率と比較して、令和７年度の加算率が低くなっています。",""))</f>
        <v/>
      </c>
      <c r="AN80" s="385"/>
      <c r="AO80" s="1094" t="str">
        <f>IF(K80&lt;&gt;"","Q列に色付け","")</f>
        <v>Q列に色付け</v>
      </c>
      <c r="AP80" s="1058" t="str">
        <f>IF(AND(AE80&lt;&gt;0,AE80&lt;&gt;""),IF(AF80="○","入力済","未入力"),"")</f>
        <v>入力済</v>
      </c>
      <c r="AQ80" s="912" t="str">
        <f>IFERROR((VLOOKUP(N80, 【参考】数式用２!$BE$5:$BE$13, 1,FALSE)), "対象外")</f>
        <v>処遇改善加算Ⅴ（14）</v>
      </c>
      <c r="AR80" s="836" t="str">
        <f>IF(AG80&lt;&gt;"",IF(AH80="○","入力済","未入力"),"")</f>
        <v>入力済</v>
      </c>
      <c r="AS80" s="836" t="str">
        <f>IF(AND(P80&lt;&gt;"", AI80=""), "未入力", "入力済")</f>
        <v>入力済</v>
      </c>
      <c r="AT80" s="836" t="str">
        <f>IF(AND(P80&lt;&gt;"", P80&lt;&gt;"処遇改善加算Ⅳ", AJ80=""), "未入力", "入力済")</f>
        <v>入力済</v>
      </c>
      <c r="AU80" s="836" t="str">
        <f>IFERROR(VLOOKUP(K80, 【参考】数式用２!$BB$5:$BC$48, 2, FALSE), "")</f>
        <v>対象</v>
      </c>
      <c r="AV80" s="836">
        <f>IF(AND(P80&lt;&gt;"処遇改善加算Ⅲ",P80&lt;&gt;"処遇改善加算Ⅳ", P80&lt;&gt;"", AU80&lt;&gt;"対象外"), 1,"")</f>
        <v>1</v>
      </c>
      <c r="AW80" s="836" t="str">
        <f>IFERROR("_"&amp;VLOOKUP(K80, 【参考】数式用２!$AG$2:$AH$48, 2, FALSE), "")</f>
        <v>_72</v>
      </c>
      <c r="AX80" s="1097" t="str">
        <f>IF(AND(P80="処遇改善加算Ⅰ", AL80=""), "未入力","入力済")</f>
        <v>入力済</v>
      </c>
      <c r="AY80" s="1094" t="str">
        <f>G80</f>
        <v>千代田区</v>
      </c>
      <c r="AZ80"/>
      <c r="BA80"/>
      <c r="BB80"/>
      <c r="BC80"/>
      <c r="BD80"/>
      <c r="BE80"/>
      <c r="BF80"/>
      <c r="BG80"/>
    </row>
    <row r="81" spans="1:59" ht="1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IF(基本情報入力シート!B59="", "",基本情報入力シート!B59)</f>
        <v>1111111125</v>
      </c>
      <c r="C84" s="1110"/>
      <c r="D84" s="1110"/>
      <c r="E84" s="1110"/>
      <c r="F84" s="1110"/>
      <c r="G84" s="1110" t="str">
        <f>IF(基本情報入力シート!L59="", "",基本情報入力シート!L59)</f>
        <v>千代田区</v>
      </c>
      <c r="H84" s="1110" t="str">
        <f>IF(基本情報入力シート!Q59="", "",基本情報入力シート!Q59)</f>
        <v>東京都</v>
      </c>
      <c r="I84" s="1110" t="str">
        <f>IF(基本情報入力シート!V59="", "",基本情報入力シート!V59)</f>
        <v>千代田区</v>
      </c>
      <c r="J84" s="1110" t="str">
        <f>IF(基本情報入力シート!W59="", "",基本情報入力シート!W59)</f>
        <v>○○デイケア</v>
      </c>
      <c r="K84" s="1110" t="str">
        <f>IF(基本情報入力シート!X59="", "",基本情報入力シート!X59)</f>
        <v>介護予防認知症対応型通所介護</v>
      </c>
      <c r="L84" s="1115">
        <f>IF(基本情報入力シート!AC59=0, "",基本情報入力シート!AC59)</f>
        <v>750000</v>
      </c>
      <c r="M84" s="1118">
        <f>IF(基本情報入力シート!AD59="", "",基本情報入力シート!AD59)</f>
        <v>11.1</v>
      </c>
      <c r="N84" s="1103" t="s">
        <v>502</v>
      </c>
      <c r="O84" s="1106">
        <f>IFERROR(VLOOKUP(K84,【参考】数式用２!$A$2:$AD$48,MATCH(N84,【参考】数式用２!$C$4:$AD$4,0)+2,0),"")</f>
        <v>0</v>
      </c>
      <c r="P84" s="1055" t="s">
        <v>476</v>
      </c>
      <c r="Q84" s="1068">
        <f>IFERROR(VLOOKUP(K84,【参考】数式用２!$A$2:$AC$48,MATCH(P84,【参考】数式用２!$C$4:$AC$4,0)+2,0),"")</f>
        <v>0.18099999999999999</v>
      </c>
      <c r="R84" s="1071" t="s">
        <v>388</v>
      </c>
      <c r="S84" s="1059">
        <v>7</v>
      </c>
      <c r="T84" s="1062" t="s">
        <v>477</v>
      </c>
      <c r="U84" s="1059">
        <v>4</v>
      </c>
      <c r="V84" s="1062" t="s">
        <v>478</v>
      </c>
      <c r="W84" s="1059">
        <v>8</v>
      </c>
      <c r="X84" s="1062" t="s">
        <v>477</v>
      </c>
      <c r="Y84" s="1059">
        <v>3</v>
      </c>
      <c r="Z84" s="1062" t="s">
        <v>479</v>
      </c>
      <c r="AA84" s="1062" t="s">
        <v>291</v>
      </c>
      <c r="AB84" s="1062">
        <f>IF(S84&gt;=1,(W84*12+Y84)-(S84*12+U84)+1,"")</f>
        <v>12</v>
      </c>
      <c r="AC84" s="1086" t="s">
        <v>480</v>
      </c>
      <c r="AD84" s="1065">
        <f>IFERROR(ROUNDDOWN(ROUND(L84*Q84,0)*M84,0)*AB84,"")</f>
        <v>18081900</v>
      </c>
      <c r="AE84" s="1089">
        <f>IFERROR(ROUNDDOWN(ROUNDDOWN(ROUND(L84*VLOOKUP(K84,【参考】数式用２!$A$2:$AC$48,MATCH("処遇改善加算Ⅳ",【参考】数式用２!$C$4:$O$4,0)+2,0),0)*M84,0)*AB84*0.5,0), "")</f>
        <v>6093900</v>
      </c>
      <c r="AF84" s="1074" t="s">
        <v>47</v>
      </c>
      <c r="AG84" s="1065" t="str">
        <f>IF(AND(AQ84&lt;&gt;"対象外", P84&lt;&gt;""),ROUNDDOWN(ROUND(L84*VLOOKUP(K84,【参考】数式用２!$A$2:$K$48,MATCH("ベア加算あり",【参考】数式用２!$C$4:$K$4,0)+2,0),0)*M84,0)*AB84,"")</f>
        <v/>
      </c>
      <c r="AH84" s="1083"/>
      <c r="AI84" s="1074" t="s">
        <v>47</v>
      </c>
      <c r="AJ84" s="1074" t="s">
        <v>47</v>
      </c>
      <c r="AK84" s="1077"/>
      <c r="AL84" s="1080" t="s">
        <v>489</v>
      </c>
      <c r="AM84" s="690" t="str">
        <f t="shared" ref="AM84" si="51">IF(Q84="","",IF(Q84&lt;O84,"！加算の要件上は問題ありませんが、令和６年度末の加算率と比較して、令和７年度の加算率が低くなっています。",""))</f>
        <v/>
      </c>
      <c r="AN84" s="385"/>
      <c r="AO84" s="1094" t="str">
        <f>IF(K84&lt;&gt;"","Q列に色付け","")</f>
        <v>Q列に色付け</v>
      </c>
      <c r="AP84" s="1058" t="str">
        <f>IF(AND(AE84&lt;&gt;0,AE84&lt;&gt;""),IF(AF84="○","入力済","未入力"),"")</f>
        <v>入力済</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対象外</v>
      </c>
      <c r="AV84" s="836" t="str">
        <f>IF(AND(P84&lt;&gt;"処遇改善加算Ⅲ",P84&lt;&gt;"処遇改善加算Ⅳ", P84&lt;&gt;"", AU84&lt;&gt;"対象外"), 1,"")</f>
        <v/>
      </c>
      <c r="AW84" s="836" t="str">
        <f>IFERROR("_"&amp;VLOOKUP(K84, 【参考】数式用２!$AG$2:$AH$48, 2, FALSE), "")</f>
        <v>_74</v>
      </c>
      <c r="AX84" s="1097" t="str">
        <f>IF(AND(P84="処遇改善加算Ⅰ", AL84=""), "未入力","入力済")</f>
        <v>入力済</v>
      </c>
      <c r="AY84" s="1094" t="str">
        <f>G84</f>
        <v>千代田区</v>
      </c>
      <c r="AZ84"/>
      <c r="BA84"/>
      <c r="BB84"/>
      <c r="BC84"/>
      <c r="BD84"/>
      <c r="BE84"/>
      <c r="BF84"/>
      <c r="BG84"/>
    </row>
    <row r="85" spans="1:59" ht="1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IF(基本情報入力シート!B60="", "",基本情報入力シート!B60)</f>
        <v>1111111126</v>
      </c>
      <c r="C88" s="1110"/>
      <c r="D88" s="1110"/>
      <c r="E88" s="1110"/>
      <c r="F88" s="1110"/>
      <c r="G88" s="1110" t="str">
        <f>IF(基本情報入力シート!L60="", "",基本情報入力シート!L60)</f>
        <v>千代田区</v>
      </c>
      <c r="H88" s="1110" t="str">
        <f>IF(基本情報入力シート!Q60="", "",基本情報入力シート!Q60)</f>
        <v>東京都</v>
      </c>
      <c r="I88" s="1110" t="str">
        <f>IF(基本情報入力シート!V60="", "",基本情報入力シート!V60)</f>
        <v>千代田区</v>
      </c>
      <c r="J88" s="1110" t="str">
        <f>IF(基本情報入力シート!W60="", "",基本情報入力シート!W60)</f>
        <v>○○小多機</v>
      </c>
      <c r="K88" s="1110" t="str">
        <f>IF(基本情報入力シート!X60="", "",基本情報入力シート!X60)</f>
        <v>小規模多機能型居宅介護</v>
      </c>
      <c r="L88" s="1115">
        <f>IF(基本情報入力シート!AC60=0, "",基本情報入力シート!AC60)</f>
        <v>750000</v>
      </c>
      <c r="M88" s="1118">
        <f>IF(基本情報入力シート!AD60="", "",基本情報入力シート!AD60)</f>
        <v>11.1</v>
      </c>
      <c r="N88" s="1103" t="s">
        <v>485</v>
      </c>
      <c r="O88" s="1106">
        <f>IFERROR(VLOOKUP(K88,【参考】数式用２!$A$2:$AD$48,MATCH(N88,【参考】数式用２!$C$4:$AD$4,0)+2,0),"")</f>
        <v>0.106</v>
      </c>
      <c r="P88" s="1055" t="s">
        <v>476</v>
      </c>
      <c r="Q88" s="1068">
        <f>IFERROR(VLOOKUP(K88,【参考】数式用２!$A$2:$AC$48,MATCH(P88,【参考】数式用２!$C$4:$AC$4,0)+2,0),"")</f>
        <v>0.14900000000000002</v>
      </c>
      <c r="R88" s="1071" t="s">
        <v>388</v>
      </c>
      <c r="S88" s="1059">
        <v>7</v>
      </c>
      <c r="T88" s="1062" t="s">
        <v>477</v>
      </c>
      <c r="U88" s="1059">
        <v>4</v>
      </c>
      <c r="V88" s="1062" t="s">
        <v>478</v>
      </c>
      <c r="W88" s="1059">
        <v>8</v>
      </c>
      <c r="X88" s="1062" t="s">
        <v>477</v>
      </c>
      <c r="Y88" s="1059">
        <v>3</v>
      </c>
      <c r="Z88" s="1062" t="s">
        <v>479</v>
      </c>
      <c r="AA88" s="1062" t="s">
        <v>291</v>
      </c>
      <c r="AB88" s="1062">
        <f>IF(S88&gt;=1,(W88*12+Y88)-(S88*12+U88)+1,"")</f>
        <v>12</v>
      </c>
      <c r="AC88" s="1086" t="s">
        <v>480</v>
      </c>
      <c r="AD88" s="1065">
        <f>IFERROR(ROUNDDOWN(ROUND(L88*Q88,0)*M88,0)*AB88,"")</f>
        <v>14885100</v>
      </c>
      <c r="AE88" s="1089">
        <f>IFERROR(ROUNDDOWN(ROUNDDOWN(ROUND(L88*VLOOKUP(K88,【参考】数式用２!$A$2:$AC$48,MATCH("処遇改善加算Ⅳ",【参考】数式用２!$C$4:$O$4,0)+2,0),0)*M88,0)*AB88*0.5,0), "")</f>
        <v>5294700</v>
      </c>
      <c r="AF88" s="1074" t="s">
        <v>47</v>
      </c>
      <c r="AG88" s="1065" t="str">
        <f>IF(AND(AQ88&lt;&gt;"対象外", P88&lt;&gt;""),ROUNDDOWN(ROUND(L88*VLOOKUP(K88,【参考】数式用２!$A$2:$K$48,MATCH("ベア加算あり",【参考】数式用２!$C$4:$K$4,0)+2,0),0)*M88,0)*AB88,"")</f>
        <v/>
      </c>
      <c r="AH88" s="1083"/>
      <c r="AI88" s="1074" t="s">
        <v>47</v>
      </c>
      <c r="AJ88" s="1074" t="s">
        <v>481</v>
      </c>
      <c r="AK88" s="1077">
        <v>1</v>
      </c>
      <c r="AL88" s="1080" t="s">
        <v>489</v>
      </c>
      <c r="AM88" s="690" t="str">
        <f t="shared" ref="AM88" si="54">IF(Q88="","",IF(Q88&lt;O88,"！加算の要件上は問題ありませんが、令和６年度末の加算率と比較して、令和７年度の加算率が低くなっています。",""))</f>
        <v/>
      </c>
      <c r="AN88" s="385"/>
      <c r="AO88" s="1094" t="str">
        <f>IF(K88&lt;&gt;"","Q列に色付け","")</f>
        <v>Q列に色付け</v>
      </c>
      <c r="AP88" s="1058" t="str">
        <f>IF(AND(AE88&lt;&gt;0,AE88&lt;&gt;""),IF(AF88="○","入力済","未入力"),"")</f>
        <v>入力済</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対象</v>
      </c>
      <c r="AV88" s="836">
        <f>IF(AND(P88&lt;&gt;"処遇改善加算Ⅲ",P88&lt;&gt;"処遇改善加算Ⅳ", P88&lt;&gt;"", AU88&lt;&gt;"対象外"), 1,"")</f>
        <v>1</v>
      </c>
      <c r="AW88" s="836" t="str">
        <f>IFERROR("_"&amp;VLOOKUP(K88, 【参考】数式用２!$AG$2:$AH$48, 2, FALSE), "")</f>
        <v>_73</v>
      </c>
      <c r="AX88" s="1097" t="str">
        <f>IF(AND(P88="処遇改善加算Ⅰ", AL88=""), "未入力","入力済")</f>
        <v>入力済</v>
      </c>
      <c r="AY88" s="1094" t="str">
        <f>G88</f>
        <v>千代田区</v>
      </c>
      <c r="AZ88"/>
      <c r="BA88"/>
      <c r="BB88"/>
      <c r="BC88"/>
      <c r="BD88"/>
      <c r="BE88"/>
      <c r="BF88"/>
      <c r="BG88"/>
    </row>
    <row r="89" spans="1:59" ht="1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IF(基本情報入力シート!B61="", "",基本情報入力シート!B61)</f>
        <v>1111111127</v>
      </c>
      <c r="C92" s="1110"/>
      <c r="D92" s="1110"/>
      <c r="E92" s="1110"/>
      <c r="F92" s="1110"/>
      <c r="G92" s="1110" t="str">
        <f>IF(基本情報入力シート!L61="", "",基本情報入力シート!L61)</f>
        <v>千代田区</v>
      </c>
      <c r="H92" s="1110" t="str">
        <f>IF(基本情報入力シート!Q61="", "",基本情報入力シート!Q61)</f>
        <v>東京都</v>
      </c>
      <c r="I92" s="1110" t="str">
        <f>IF(基本情報入力シート!V61="", "",基本情報入力シート!V61)</f>
        <v>千代田区</v>
      </c>
      <c r="J92" s="1110" t="str">
        <f>IF(基本情報入力シート!W61="", "",基本情報入力シート!W61)</f>
        <v>○○小多機</v>
      </c>
      <c r="K92" s="1110" t="str">
        <f>IF(基本情報入力シート!X61="", "",基本情報入力シート!X61)</f>
        <v>小規模多機能型居宅介護（短期利用型）</v>
      </c>
      <c r="L92" s="1115">
        <f>IF(基本情報入力シート!AC61=0, "",基本情報入力シート!AC61)</f>
        <v>750000</v>
      </c>
      <c r="M92" s="1118">
        <f>IF(基本情報入力シート!AD61="", "",基本情報入力シート!AD61)</f>
        <v>11.1</v>
      </c>
      <c r="N92" s="1103" t="s">
        <v>485</v>
      </c>
      <c r="O92" s="1106">
        <f>IFERROR(VLOOKUP(K92,【参考】数式用２!$A$2:$AD$48,MATCH(N92,【参考】数式用２!$C$4:$AD$4,0)+2,0),"")</f>
        <v>0.106</v>
      </c>
      <c r="P92" s="1055" t="s">
        <v>476</v>
      </c>
      <c r="Q92" s="1068">
        <f>IFERROR(VLOOKUP(K92,【参考】数式用２!$A$2:$AC$48,MATCH(P92,【参考】数式用２!$C$4:$AC$4,0)+2,0),"")</f>
        <v>0.14900000000000002</v>
      </c>
      <c r="R92" s="1071" t="s">
        <v>388</v>
      </c>
      <c r="S92" s="1059">
        <v>7</v>
      </c>
      <c r="T92" s="1062" t="s">
        <v>477</v>
      </c>
      <c r="U92" s="1059">
        <v>4</v>
      </c>
      <c r="V92" s="1062" t="s">
        <v>478</v>
      </c>
      <c r="W92" s="1059">
        <v>8</v>
      </c>
      <c r="X92" s="1062" t="s">
        <v>477</v>
      </c>
      <c r="Y92" s="1059">
        <v>3</v>
      </c>
      <c r="Z92" s="1062" t="s">
        <v>479</v>
      </c>
      <c r="AA92" s="1062" t="s">
        <v>291</v>
      </c>
      <c r="AB92" s="1062">
        <f>IF(S92&gt;=1,(W92*12+Y92)-(S92*12+U92)+1,"")</f>
        <v>12</v>
      </c>
      <c r="AC92" s="1086" t="s">
        <v>480</v>
      </c>
      <c r="AD92" s="1065">
        <f>IFERROR(ROUNDDOWN(ROUND(L92*Q92,0)*M92,0)*AB92,"")</f>
        <v>14885100</v>
      </c>
      <c r="AE92" s="1089">
        <f>IFERROR(ROUNDDOWN(ROUNDDOWN(ROUND(L92*VLOOKUP(K92,【参考】数式用２!$A$2:$AC$48,MATCH("処遇改善加算Ⅳ",【参考】数式用２!$C$4:$O$4,0)+2,0),0)*M92,0)*AB92*0.5,0), "")</f>
        <v>5294700</v>
      </c>
      <c r="AF92" s="1074" t="s">
        <v>47</v>
      </c>
      <c r="AG92" s="1065" t="str">
        <f>IF(AND(AQ92&lt;&gt;"対象外", P92&lt;&gt;""),ROUNDDOWN(ROUND(L92*VLOOKUP(K92,【参考】数式用２!$A$2:$K$48,MATCH("ベア加算あり",【参考】数式用２!$C$4:$K$4,0)+2,0),0)*M92,0)*AB92,"")</f>
        <v/>
      </c>
      <c r="AH92" s="1083"/>
      <c r="AI92" s="1074" t="s">
        <v>481</v>
      </c>
      <c r="AJ92" s="1074" t="s">
        <v>481</v>
      </c>
      <c r="AK92" s="1077"/>
      <c r="AL92" s="1080" t="s">
        <v>489</v>
      </c>
      <c r="AM92" s="690" t="str">
        <f t="shared" ref="AM92" si="57">IF(Q92="","",IF(Q92&lt;O92,"！加算の要件上は問題ありませんが、令和６年度末の加算率と比較して、令和７年度の加算率が低くなっています。",""))</f>
        <v/>
      </c>
      <c r="AN92" s="385"/>
      <c r="AO92" s="1094" t="str">
        <f>IF(K92&lt;&gt;"","Q列に色付け","")</f>
        <v>Q列に色付け</v>
      </c>
      <c r="AP92" s="1058" t="str">
        <f>IF(AND(AE92&lt;&gt;0,AE92&lt;&gt;""),IF(AF92="○","入力済","未入力"),"")</f>
        <v>入力済</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対象外</v>
      </c>
      <c r="AV92" s="836" t="str">
        <f>IF(AND(P92&lt;&gt;"処遇改善加算Ⅲ",P92&lt;&gt;"処遇改善加算Ⅳ", P92&lt;&gt;"", AU92&lt;&gt;"対象外"), 1,"")</f>
        <v/>
      </c>
      <c r="AW92" s="836" t="str">
        <f>IFERROR("_"&amp;VLOOKUP(K92, 【参考】数式用２!$AG$2:$AH$48, 2, FALSE), "")</f>
        <v>_68</v>
      </c>
      <c r="AX92" s="1097" t="str">
        <f>IF(AND(P92="処遇改善加算Ⅰ", AL92=""), "未入力","入力済")</f>
        <v>入力済</v>
      </c>
      <c r="AY92" s="1094" t="str">
        <f>G92</f>
        <v>千代田区</v>
      </c>
      <c r="AZ92"/>
      <c r="BA92"/>
      <c r="BB92"/>
      <c r="BC92"/>
      <c r="BD92"/>
      <c r="BE92"/>
      <c r="BF92"/>
      <c r="BG92"/>
    </row>
    <row r="93" spans="1:59" ht="1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IF(基本情報入力シート!B62="", "",基本情報入力シート!B62)</f>
        <v>1111111128</v>
      </c>
      <c r="C96" s="1201"/>
      <c r="D96" s="1201"/>
      <c r="E96" s="1201"/>
      <c r="F96" s="1202"/>
      <c r="G96" s="1209" t="str">
        <f>IF(基本情報入力シート!L62="", "",基本情報入力シート!L62)</f>
        <v>千代田区</v>
      </c>
      <c r="H96" s="1209" t="str">
        <f>IF(基本情報入力シート!Q62="", "",基本情報入力シート!Q62)</f>
        <v>東京都</v>
      </c>
      <c r="I96" s="1209" t="str">
        <f>IF(基本情報入力シート!V62="", "",基本情報入力シート!V62)</f>
        <v>千代田区</v>
      </c>
      <c r="J96" s="1209" t="str">
        <f>IF(基本情報入力シート!W62="", "",基本情報入力シート!W62)</f>
        <v>○○小多機</v>
      </c>
      <c r="K96" s="1209" t="str">
        <f>IF(基本情報入力シート!X62="", "",基本情報入力シート!X62)</f>
        <v>介護予防小規模多機能型居宅介護</v>
      </c>
      <c r="L96" s="1212">
        <f>IF(基本情報入力シート!AC62=0, "",基本情報入力シート!AC62)</f>
        <v>750000</v>
      </c>
      <c r="M96" s="1215">
        <f>IF(基本情報入力シート!AD62="", "",基本情報入力シート!AD62)</f>
        <v>11.1</v>
      </c>
      <c r="N96" s="1103" t="s">
        <v>485</v>
      </c>
      <c r="O96" s="1106">
        <f>IFERROR(VLOOKUP(K96,【参考】数式用２!$A$2:$AD$48,MATCH(N96,【参考】数式用２!$C$4:$AD$4,0)+2,0),"")</f>
        <v>0.106</v>
      </c>
      <c r="P96" s="1055" t="s">
        <v>476</v>
      </c>
      <c r="Q96" s="1068">
        <f>IFERROR(VLOOKUP(K96,【参考】数式用２!$A$2:$AC$48,MATCH(P96,【参考】数式用２!$C$4:$AC$4,0)+2,0),"")</f>
        <v>0.14900000000000002</v>
      </c>
      <c r="R96" s="1071" t="s">
        <v>388</v>
      </c>
      <c r="S96" s="1059">
        <v>7</v>
      </c>
      <c r="T96" s="1062" t="s">
        <v>477</v>
      </c>
      <c r="U96" s="1059">
        <v>4</v>
      </c>
      <c r="V96" s="1062" t="s">
        <v>478</v>
      </c>
      <c r="W96" s="1059">
        <v>8</v>
      </c>
      <c r="X96" s="1062" t="s">
        <v>477</v>
      </c>
      <c r="Y96" s="1059">
        <v>3</v>
      </c>
      <c r="Z96" s="1062" t="s">
        <v>479</v>
      </c>
      <c r="AA96" s="1062" t="s">
        <v>291</v>
      </c>
      <c r="AB96" s="1062">
        <f>IF(S96&gt;=1,(W96*12+Y96)-(S96*12+U96)+1,"")</f>
        <v>12</v>
      </c>
      <c r="AC96" s="1086" t="s">
        <v>480</v>
      </c>
      <c r="AD96" s="1065">
        <f>IFERROR(ROUNDDOWN(ROUND(L96*Q96,0)*M96,0)*AB96,"")</f>
        <v>14885100</v>
      </c>
      <c r="AE96" s="1089">
        <f>IFERROR(ROUNDDOWN(ROUNDDOWN(ROUND(L96*VLOOKUP(K96,【参考】数式用２!$A$2:$AC$48,MATCH("処遇改善加算Ⅳ",【参考】数式用２!$C$4:$O$4,0)+2,0),0)*M96,0)*AB96*0.5,0), "")</f>
        <v>5294700</v>
      </c>
      <c r="AF96" s="1074" t="s">
        <v>47</v>
      </c>
      <c r="AG96" s="1065" t="str">
        <f>IF(AND(AQ96&lt;&gt;"対象外", P96&lt;&gt;""),ROUNDDOWN(ROUND(L96*VLOOKUP(K96,【参考】数式用２!$A$2:$K$48,MATCH("ベア加算あり",【参考】数式用２!$C$4:$K$4,0)+2,0),0)*M96,0)*AB96,"")</f>
        <v/>
      </c>
      <c r="AH96" s="1083"/>
      <c r="AI96" s="1074" t="s">
        <v>481</v>
      </c>
      <c r="AJ96" s="1074" t="s">
        <v>47</v>
      </c>
      <c r="AK96" s="1077"/>
      <c r="AL96" s="1080" t="s">
        <v>489</v>
      </c>
      <c r="AM96" s="690" t="str">
        <f t="shared" ref="AM96" si="60">IF(Q96="","",IF(Q96&lt;O96,"！加算の要件上は問題ありませんが、令和６年度末の加算率と比較して、令和７年度の加算率が低くなっています。",""))</f>
        <v/>
      </c>
      <c r="AN96" s="385"/>
      <c r="AO96" s="1094" t="str">
        <f>IF(K96&lt;&gt;"","Q列に色付け","")</f>
        <v>Q列に色付け</v>
      </c>
      <c r="AP96" s="1058" t="str">
        <f>IF(AND(AE96&lt;&gt;0,AE96&lt;&gt;""),IF(AF96="○","入力済","未入力"),"")</f>
        <v>入力済</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対象外</v>
      </c>
      <c r="AV96" s="836" t="str">
        <f>IF(AND(P96&lt;&gt;"処遇改善加算Ⅲ",P96&lt;&gt;"処遇改善加算Ⅳ", P96&lt;&gt;"", AU96&lt;&gt;"対象外"), 1,"")</f>
        <v/>
      </c>
      <c r="AW96" s="836" t="str">
        <f>IFERROR("_"&amp;VLOOKUP(K96, 【参考】数式用２!$AG$2:$AH$48, 2, FALSE), "")</f>
        <v>_75</v>
      </c>
      <c r="AX96" s="1097" t="str">
        <f>IF(AND(P96="処遇改善加算Ⅰ", AL96=""), "未入力","入力済")</f>
        <v>入力済</v>
      </c>
      <c r="AY96" s="1094" t="str">
        <f>G96</f>
        <v>千代田区</v>
      </c>
      <c r="AZ96"/>
      <c r="BA96"/>
      <c r="BB96"/>
      <c r="BC96"/>
      <c r="BD96"/>
      <c r="BE96"/>
      <c r="BF96"/>
      <c r="BG96"/>
    </row>
    <row r="97" spans="1:59" ht="1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IF(基本情報入力シート!B63="", "",基本情報入力シート!B63)</f>
        <v>1111111129</v>
      </c>
      <c r="C100" s="1219"/>
      <c r="D100" s="1219"/>
      <c r="E100" s="1219"/>
      <c r="F100" s="1220"/>
      <c r="G100" s="1221" t="str">
        <f>IF(基本情報入力シート!L63="", "",基本情報入力シート!L63)</f>
        <v>千代田区</v>
      </c>
      <c r="H100" s="1221" t="str">
        <f>IF(基本情報入力シート!Q63="", "",基本情報入力シート!Q63)</f>
        <v>東京都</v>
      </c>
      <c r="I100" s="1221" t="str">
        <f>IF(基本情報入力シート!V63="", "",基本情報入力シート!V63)</f>
        <v>千代田区</v>
      </c>
      <c r="J100" s="1221" t="str">
        <f>IF(基本情報入力シート!W63="", "",基本情報入力シート!W63)</f>
        <v>○○小多機</v>
      </c>
      <c r="K100" s="1221" t="str">
        <f>IF(基本情報入力シート!X63="", "",基本情報入力シート!X63)</f>
        <v>介護予防小規模多機能型居宅介護（短期利用型）</v>
      </c>
      <c r="L100" s="1222">
        <f>IF(基本情報入力シート!AC63=0, "",基本情報入力シート!AC63)</f>
        <v>750000</v>
      </c>
      <c r="M100" s="1215">
        <f>IF(基本情報入力シート!AD63="", "",基本情報入力シート!AD63)</f>
        <v>11.1</v>
      </c>
      <c r="N100" s="1103" t="s">
        <v>485</v>
      </c>
      <c r="O100" s="1106">
        <f>IFERROR(VLOOKUP(K100,【参考】数式用２!$A$2:$AD$48,MATCH(N100,【参考】数式用２!$C$4:$AD$4,0)+2,0),"")</f>
        <v>0.106</v>
      </c>
      <c r="P100" s="1055" t="s">
        <v>476</v>
      </c>
      <c r="Q100" s="1068">
        <f>IFERROR(VLOOKUP(K100,【参考】数式用２!$A$2:$AC$48,MATCH(P100,【参考】数式用２!$C$4:$AC$4,0)+2,0),"")</f>
        <v>0.14900000000000002</v>
      </c>
      <c r="R100" s="1071" t="s">
        <v>388</v>
      </c>
      <c r="S100" s="1059">
        <v>7</v>
      </c>
      <c r="T100" s="1062" t="s">
        <v>477</v>
      </c>
      <c r="U100" s="1059">
        <v>4</v>
      </c>
      <c r="V100" s="1062" t="s">
        <v>478</v>
      </c>
      <c r="W100" s="1059">
        <v>8</v>
      </c>
      <c r="X100" s="1062" t="s">
        <v>477</v>
      </c>
      <c r="Y100" s="1059">
        <v>3</v>
      </c>
      <c r="Z100" s="1062" t="s">
        <v>479</v>
      </c>
      <c r="AA100" s="1062" t="s">
        <v>291</v>
      </c>
      <c r="AB100" s="1062">
        <f>IF(S100&gt;=1,(W100*12+Y100)-(S100*12+U100)+1,"")</f>
        <v>12</v>
      </c>
      <c r="AC100" s="1086" t="s">
        <v>480</v>
      </c>
      <c r="AD100" s="1065">
        <f>IFERROR(ROUNDDOWN(ROUND(L100*Q100,0)*M100,0)*AB100,"")</f>
        <v>14885100</v>
      </c>
      <c r="AE100" s="1089">
        <f>IFERROR(ROUNDDOWN(ROUNDDOWN(ROUND(L100*VLOOKUP(K100,【参考】数式用２!$A$2:$AC$48,MATCH("処遇改善加算Ⅳ",【参考】数式用２!$C$4:$O$4,0)+2,0),0)*M100,0)*AB100*0.5,0), "")</f>
        <v>5294700</v>
      </c>
      <c r="AF100" s="1074" t="s">
        <v>47</v>
      </c>
      <c r="AG100" s="1065" t="str">
        <f>IF(AND(AQ100&lt;&gt;"対象外", P100&lt;&gt;""),ROUNDDOWN(ROUND(L100*VLOOKUP(K100,【参考】数式用２!$A$2:$K$48,MATCH("ベア加算あり",【参考】数式用２!$C$4:$K$4,0)+2,0),0)*M100,0)*AB100,"")</f>
        <v/>
      </c>
      <c r="AH100" s="1083"/>
      <c r="AI100" s="1074" t="s">
        <v>47</v>
      </c>
      <c r="AJ100" s="1074" t="s">
        <v>481</v>
      </c>
      <c r="AK100" s="1077"/>
      <c r="AL100" s="1080" t="s">
        <v>489</v>
      </c>
      <c r="AM100" s="690" t="str">
        <f t="shared" ref="AM100" si="63">IF(Q100="","",IF(Q100&lt;O100,"！加算の要件上は問題ありませんが、令和６年度末の加算率と比較して、令和７年度の加算率が低くなっています。",""))</f>
        <v/>
      </c>
      <c r="AN100" s="385"/>
      <c r="AO100" s="1095" t="str">
        <f>IF(K100&lt;&gt;"","Q列に色付け","")</f>
        <v>Q列に色付け</v>
      </c>
      <c r="AP100" s="1058" t="str">
        <f>IF(AND(AE100&lt;&gt;0,AE100&lt;&gt;""),IF(AF100="○","入力済","未入力"),"")</f>
        <v>入力済</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対象外</v>
      </c>
      <c r="AV100" s="836" t="str">
        <f>IF(AND(P100&lt;&gt;"処遇改善加算Ⅲ",P100&lt;&gt;"処遇改善加算Ⅳ", P100&lt;&gt;"", AU100&lt;&gt;"対象外"), 1,"")</f>
        <v/>
      </c>
      <c r="AW100" s="836" t="str">
        <f>IFERROR("_"&amp;VLOOKUP(K100, 【参考】数式用２!$AG$2:$AH$48, 2, FALSE), "")</f>
        <v>_69</v>
      </c>
      <c r="AX100" s="1097" t="str">
        <f>IF(AND(P100="処遇改善加算Ⅰ", AL100=""), "未入力","入力済")</f>
        <v>入力済</v>
      </c>
      <c r="AY100" s="1094" t="str">
        <f>G100</f>
        <v>千代田区</v>
      </c>
      <c r="AZ100"/>
      <c r="BA100"/>
      <c r="BB100"/>
      <c r="BC100"/>
      <c r="BD100"/>
      <c r="BE100"/>
      <c r="BF100"/>
      <c r="BG100"/>
    </row>
    <row r="101" spans="1:59" ht="1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IF(基本情報入力シート!B64="", "",基本情報入力シート!B64)</f>
        <v>1111111130</v>
      </c>
      <c r="C104" s="1219"/>
      <c r="D104" s="1219"/>
      <c r="E104" s="1219"/>
      <c r="F104" s="1220"/>
      <c r="G104" s="1221" t="str">
        <f>IF(基本情報入力シート!L64="", "",基本情報入力シート!L64)</f>
        <v>千代田区</v>
      </c>
      <c r="H104" s="1221" t="str">
        <f>IF(基本情報入力シート!Q64="", "",基本情報入力シート!Q64)</f>
        <v>東京都</v>
      </c>
      <c r="I104" s="1221" t="str">
        <f>IF(基本情報入力シート!V64="", "",基本情報入力シート!V64)</f>
        <v>千代田区</v>
      </c>
      <c r="J104" s="1221" t="str">
        <f>IF(基本情報入力シート!W64="", "",基本情報入力シート!W64)</f>
        <v>○○看多機</v>
      </c>
      <c r="K104" s="1221" t="str">
        <f>IF(基本情報入力シート!X64="", "",基本情報入力シート!X64)</f>
        <v>複合型サービス（看護小規模多機能型居宅介護）</v>
      </c>
      <c r="L104" s="1222">
        <f>IF(基本情報入力シート!AC64=0, "",基本情報入力シート!AC64)</f>
        <v>750000</v>
      </c>
      <c r="M104" s="1215">
        <f>IF(基本情報入力シート!AD64="", "",基本情報入力シート!AD64)</f>
        <v>11.1</v>
      </c>
      <c r="N104" s="1103" t="s">
        <v>485</v>
      </c>
      <c r="O104" s="1106">
        <f>IFERROR(VLOOKUP(K104,【参考】数式用２!$A$2:$AD$48,MATCH(N104,【参考】数式用２!$C$4:$AD$4,0)+2,0),"")</f>
        <v>0.106</v>
      </c>
      <c r="P104" s="1055" t="s">
        <v>476</v>
      </c>
      <c r="Q104" s="1068">
        <f>IFERROR(VLOOKUP(K104,【参考】数式用２!$A$2:$AC$48,MATCH(P104,【参考】数式用２!$C$4:$AC$4,0)+2,0),"")</f>
        <v>0.14900000000000002</v>
      </c>
      <c r="R104" s="1071" t="s">
        <v>388</v>
      </c>
      <c r="S104" s="1059">
        <v>7</v>
      </c>
      <c r="T104" s="1062" t="s">
        <v>477</v>
      </c>
      <c r="U104" s="1059">
        <v>4</v>
      </c>
      <c r="V104" s="1062" t="s">
        <v>478</v>
      </c>
      <c r="W104" s="1059">
        <v>8</v>
      </c>
      <c r="X104" s="1062" t="s">
        <v>477</v>
      </c>
      <c r="Y104" s="1059">
        <v>3</v>
      </c>
      <c r="Z104" s="1062" t="s">
        <v>479</v>
      </c>
      <c r="AA104" s="1062" t="s">
        <v>291</v>
      </c>
      <c r="AB104" s="1062">
        <f>IF(S104&gt;=1,(W104*12+Y104)-(S104*12+U104)+1,"")</f>
        <v>12</v>
      </c>
      <c r="AC104" s="1086" t="s">
        <v>480</v>
      </c>
      <c r="AD104" s="1065">
        <f>IFERROR(ROUNDDOWN(ROUND(L104*Q104,0)*M104,0)*AB104,"")</f>
        <v>14885100</v>
      </c>
      <c r="AE104" s="1089">
        <f>IFERROR(ROUNDDOWN(ROUNDDOWN(ROUND(L104*VLOOKUP(K104,【参考】数式用２!$A$2:$AC$48,MATCH("処遇改善加算Ⅳ",【参考】数式用２!$C$4:$O$4,0)+2,0),0)*M104,0)*AB104*0.5,0), "")</f>
        <v>5294700</v>
      </c>
      <c r="AF104" s="1074" t="s">
        <v>47</v>
      </c>
      <c r="AG104" s="1065" t="str">
        <f>IF(AND(AQ104&lt;&gt;"対象外", P104&lt;&gt;""),ROUNDDOWN(ROUND(L104*VLOOKUP(K104,【参考】数式用２!$A$2:$K$48,MATCH("ベア加算あり",【参考】数式用２!$C$4:$K$4,0)+2,0),0)*M104,0)*AB104,"")</f>
        <v/>
      </c>
      <c r="AH104" s="1083"/>
      <c r="AI104" s="1074" t="s">
        <v>47</v>
      </c>
      <c r="AJ104" s="1074" t="s">
        <v>481</v>
      </c>
      <c r="AK104" s="1077">
        <v>1</v>
      </c>
      <c r="AL104" s="1080" t="s">
        <v>489</v>
      </c>
      <c r="AM104" s="690" t="str">
        <f t="shared" ref="AM104" si="66">IF(Q104="","",IF(Q104&lt;O104,"！加算の要件上は問題ありませんが、令和６年度末の加算率と比較して、令和７年度の加算率が低くなっています。",""))</f>
        <v/>
      </c>
      <c r="AN104" s="385"/>
      <c r="AO104" s="1094" t="str">
        <f>IF(K104&lt;&gt;"","Q列に色付け","")</f>
        <v>Q列に色付け</v>
      </c>
      <c r="AP104" s="1058" t="str">
        <f>IF(AND(AE104&lt;&gt;0,AE104&lt;&gt;""),IF(AF104="○","入力済","未入力"),"")</f>
        <v>入力済</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対象</v>
      </c>
      <c r="AV104" s="836">
        <f>IF(AND(P104&lt;&gt;"処遇改善加算Ⅲ",P104&lt;&gt;"処遇改善加算Ⅳ", P104&lt;&gt;"", AU104&lt;&gt;"対象外"), 1,"")</f>
        <v>1</v>
      </c>
      <c r="AW104" s="836" t="str">
        <f>IFERROR("_"&amp;VLOOKUP(K104, 【参考】数式用２!$AG$2:$AH$48, 2, FALSE), "")</f>
        <v>_77</v>
      </c>
      <c r="AX104" s="1097" t="str">
        <f>IF(AND(P104="処遇改善加算Ⅰ", AL104=""), "未入力","入力済")</f>
        <v>入力済</v>
      </c>
      <c r="AY104" s="1094" t="str">
        <f>G104</f>
        <v>千代田区</v>
      </c>
      <c r="AZ104"/>
      <c r="BA104"/>
      <c r="BB104"/>
      <c r="BC104"/>
      <c r="BD104"/>
      <c r="BE104"/>
      <c r="BF104"/>
      <c r="BG104"/>
    </row>
    <row r="105" spans="1:59" ht="1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IF(基本情報入力シート!B65="", "",基本情報入力シート!B65)</f>
        <v>1111111131</v>
      </c>
      <c r="C108" s="1219"/>
      <c r="D108" s="1219"/>
      <c r="E108" s="1219"/>
      <c r="F108" s="1220"/>
      <c r="G108" s="1221" t="str">
        <f>IF(基本情報入力シート!L65="", "",基本情報入力シート!L65)</f>
        <v>千代田区</v>
      </c>
      <c r="H108" s="1221" t="str">
        <f>IF(基本情報入力シート!Q65="", "",基本情報入力シート!Q65)</f>
        <v>東京都</v>
      </c>
      <c r="I108" s="1221" t="str">
        <f>IF(基本情報入力シート!V65="", "",基本情報入力シート!V65)</f>
        <v>千代田区</v>
      </c>
      <c r="J108" s="1221" t="str">
        <f>IF(基本情報入力シート!W65="", "",基本情報入力シート!W65)</f>
        <v>○○看多機</v>
      </c>
      <c r="K108" s="1221" t="str">
        <f>IF(基本情報入力シート!X65="", "",基本情報入力シート!X65)</f>
        <v>複合型サービス（看護小規模多機能型居宅介護・短期利用型）</v>
      </c>
      <c r="L108" s="1222">
        <f>IF(基本情報入力シート!AC65=0, "",基本情報入力シート!AC65)</f>
        <v>750000</v>
      </c>
      <c r="M108" s="1215">
        <f>IF(基本情報入力シート!AD65="", "",基本情報入力シート!AD65)</f>
        <v>11.1</v>
      </c>
      <c r="N108" s="1103" t="s">
        <v>485</v>
      </c>
      <c r="O108" s="1106">
        <f>IFERROR(VLOOKUP(K108,【参考】数式用２!$A$2:$AD$48,MATCH(N108,【参考】数式用２!$C$4:$AD$4,0)+2,0),"")</f>
        <v>0.106</v>
      </c>
      <c r="P108" s="1055" t="s">
        <v>476</v>
      </c>
      <c r="Q108" s="1068">
        <f>IFERROR(VLOOKUP(K108,【参考】数式用２!$A$2:$AC$48,MATCH(P108,【参考】数式用２!$C$4:$AC$4,0)+2,0),"")</f>
        <v>0.14900000000000002</v>
      </c>
      <c r="R108" s="1071" t="s">
        <v>388</v>
      </c>
      <c r="S108" s="1059">
        <v>7</v>
      </c>
      <c r="T108" s="1062" t="s">
        <v>477</v>
      </c>
      <c r="U108" s="1059">
        <v>4</v>
      </c>
      <c r="V108" s="1062" t="s">
        <v>478</v>
      </c>
      <c r="W108" s="1059">
        <v>8</v>
      </c>
      <c r="X108" s="1062" t="s">
        <v>477</v>
      </c>
      <c r="Y108" s="1059">
        <v>3</v>
      </c>
      <c r="Z108" s="1062" t="s">
        <v>479</v>
      </c>
      <c r="AA108" s="1062" t="s">
        <v>291</v>
      </c>
      <c r="AB108" s="1062">
        <f>IF(S108&gt;=1,(W108*12+Y108)-(S108*12+U108)+1,"")</f>
        <v>12</v>
      </c>
      <c r="AC108" s="1086" t="s">
        <v>480</v>
      </c>
      <c r="AD108" s="1065">
        <f>IFERROR(ROUNDDOWN(ROUND(L108*Q108,0)*M108,0)*AB108,"")</f>
        <v>14885100</v>
      </c>
      <c r="AE108" s="1089">
        <f>IFERROR(ROUNDDOWN(ROUNDDOWN(ROUND(L108*VLOOKUP(K108,【参考】数式用２!$A$2:$AC$48,MATCH("処遇改善加算Ⅳ",【参考】数式用２!$C$4:$O$4,0)+2,0),0)*M108,0)*AB108*0.5,0), "")</f>
        <v>5294700</v>
      </c>
      <c r="AF108" s="1074" t="s">
        <v>47</v>
      </c>
      <c r="AG108" s="1065" t="str">
        <f>IF(AND(AQ108&lt;&gt;"対象外", P108&lt;&gt;""),ROUNDDOWN(ROUND(L108*VLOOKUP(K108,【参考】数式用２!$A$2:$K$48,MATCH("ベア加算あり",【参考】数式用２!$C$4:$K$4,0)+2,0),0)*M108,0)*AB108,"")</f>
        <v/>
      </c>
      <c r="AH108" s="1083"/>
      <c r="AI108" s="1074" t="s">
        <v>481</v>
      </c>
      <c r="AJ108" s="1074" t="s">
        <v>47</v>
      </c>
      <c r="AK108" s="1077"/>
      <c r="AL108" s="1080" t="s">
        <v>489</v>
      </c>
      <c r="AM108" s="690" t="str">
        <f t="shared" ref="AM108" si="69">IF(Q108="","",IF(Q108&lt;O108,"！加算の要件上は問題ありませんが、令和６年度末の加算率と比較して、令和７年度の加算率が低くなっています。",""))</f>
        <v/>
      </c>
      <c r="AN108" s="385"/>
      <c r="AO108" s="1095" t="str">
        <f>IF(K108&lt;&gt;"","Q列に色付け","")</f>
        <v>Q列に色付け</v>
      </c>
      <c r="AP108" s="1058" t="str">
        <f>IF(AND(AE108&lt;&gt;0,AE108&lt;&gt;""),IF(AF108="○","入力済","未入力"),"")</f>
        <v>入力済</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対象外</v>
      </c>
      <c r="AV108" s="836" t="str">
        <f>IF(AND(P108&lt;&gt;"処遇改善加算Ⅲ",P108&lt;&gt;"処遇改善加算Ⅳ", P108&lt;&gt;"", AU108&lt;&gt;"対象外"), 1,"")</f>
        <v/>
      </c>
      <c r="AW108" s="836" t="str">
        <f>IFERROR("_"&amp;VLOOKUP(K108, 【参考】数式用２!$AG$2:$AH$48, 2, FALSE), "")</f>
        <v>_79</v>
      </c>
      <c r="AX108" s="1097" t="str">
        <f>IF(AND(P108="処遇改善加算Ⅰ", AL108=""), "未入力","入力済")</f>
        <v>入力済</v>
      </c>
      <c r="AY108" s="1094" t="str">
        <f>G108</f>
        <v>千代田区</v>
      </c>
      <c r="AZ108"/>
      <c r="BA108"/>
      <c r="BB108"/>
      <c r="BC108"/>
      <c r="BD108"/>
      <c r="BE108"/>
      <c r="BF108"/>
      <c r="BG108"/>
    </row>
    <row r="109" spans="1:59" ht="1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IF(基本情報入力シート!B66="", "",基本情報入力シート!B66)</f>
        <v>1111111132</v>
      </c>
      <c r="C112" s="1219"/>
      <c r="D112" s="1219"/>
      <c r="E112" s="1219"/>
      <c r="F112" s="1220"/>
      <c r="G112" s="1221" t="str">
        <f>IF(基本情報入力シート!L66="", "",基本情報入力シート!L66)</f>
        <v>千代田区</v>
      </c>
      <c r="H112" s="1221" t="str">
        <f>IF(基本情報入力シート!Q66="", "",基本情報入力シート!Q66)</f>
        <v>東京都</v>
      </c>
      <c r="I112" s="1221" t="str">
        <f>IF(基本情報入力シート!V66="", "",基本情報入力シート!V66)</f>
        <v>千代田区</v>
      </c>
      <c r="J112" s="1221" t="str">
        <f>IF(基本情報入力シート!W66="", "",基本情報入力シート!W66)</f>
        <v>○○GH</v>
      </c>
      <c r="K112" s="1221" t="str">
        <f>IF(基本情報入力シート!X66="", "",基本情報入力シート!X66)</f>
        <v>認知症対応型共同生活介護</v>
      </c>
      <c r="L112" s="1222">
        <f>IF(基本情報入力シート!AC66=0, "",基本情報入力シート!AC66)</f>
        <v>750000</v>
      </c>
      <c r="M112" s="1215">
        <f>IF(基本情報入力シート!AD66="", "",基本情報入力シート!AD66)</f>
        <v>10.9</v>
      </c>
      <c r="N112" s="1103" t="s">
        <v>485</v>
      </c>
      <c r="O112" s="1106">
        <f>IFERROR(VLOOKUP(K112,【参考】数式用２!$A$2:$AD$48,MATCH(N112,【参考】数式用２!$C$4:$AD$4,0)+2,0),"")</f>
        <v>0.125</v>
      </c>
      <c r="P112" s="1055" t="s">
        <v>476</v>
      </c>
      <c r="Q112" s="1068">
        <f>IFERROR(VLOOKUP(K112,【参考】数式用２!$A$2:$AC$48,MATCH(P112,【参考】数式用２!$C$4:$AC$4,0)+2,0),"")</f>
        <v>0.186</v>
      </c>
      <c r="R112" s="1071" t="s">
        <v>388</v>
      </c>
      <c r="S112" s="1059">
        <v>7</v>
      </c>
      <c r="T112" s="1062" t="s">
        <v>477</v>
      </c>
      <c r="U112" s="1059">
        <v>4</v>
      </c>
      <c r="V112" s="1062" t="s">
        <v>478</v>
      </c>
      <c r="W112" s="1059">
        <v>8</v>
      </c>
      <c r="X112" s="1062" t="s">
        <v>477</v>
      </c>
      <c r="Y112" s="1059">
        <v>3</v>
      </c>
      <c r="Z112" s="1062" t="s">
        <v>479</v>
      </c>
      <c r="AA112" s="1062" t="s">
        <v>291</v>
      </c>
      <c r="AB112" s="1062">
        <f>IF(S112&gt;=1,(W112*12+Y112)-(S112*12+U112)+1,"")</f>
        <v>12</v>
      </c>
      <c r="AC112" s="1086" t="s">
        <v>480</v>
      </c>
      <c r="AD112" s="1065">
        <f>IFERROR(ROUNDDOWN(ROUND(L112*Q112,0)*M112,0)*AB112,"")</f>
        <v>18246600</v>
      </c>
      <c r="AE112" s="1089">
        <f>IFERROR(ROUNDDOWN(ROUNDDOWN(ROUND(L112*VLOOKUP(K112,【参考】数式用２!$A$2:$AC$48,MATCH("処遇改善加算Ⅳ",【参考】数式用２!$C$4:$O$4,0)+2,0),0)*M112,0)*AB112*0.5,0), "")</f>
        <v>6131250</v>
      </c>
      <c r="AF112" s="1074" t="s">
        <v>47</v>
      </c>
      <c r="AG112" s="1065" t="str">
        <f>IF(AND(AQ112&lt;&gt;"対象外", P112&lt;&gt;""),ROUNDDOWN(ROUND(L112*VLOOKUP(K112,【参考】数式用２!$A$2:$K$48,MATCH("ベア加算あり",【参考】数式用２!$C$4:$K$4,0)+2,0),0)*M112,0)*AB112,"")</f>
        <v/>
      </c>
      <c r="AH112" s="1083"/>
      <c r="AI112" s="1074" t="s">
        <v>481</v>
      </c>
      <c r="AJ112" s="1074" t="s">
        <v>481</v>
      </c>
      <c r="AK112" s="1077">
        <v>1</v>
      </c>
      <c r="AL112" s="1080" t="s">
        <v>489</v>
      </c>
      <c r="AM112" s="690" t="str">
        <f t="shared" ref="AM112" si="72">IF(Q112="","",IF(Q112&lt;O112,"！加算の要件上は問題ありませんが、令和６年度末の加算率と比較して、令和７年度の加算率が低くなっています。",""))</f>
        <v/>
      </c>
      <c r="AN112" s="385"/>
      <c r="AO112" s="1094" t="str">
        <f>IF(K112&lt;&gt;"","Q列に色付け","")</f>
        <v>Q列に色付け</v>
      </c>
      <c r="AP112" s="1058" t="str">
        <f>IF(AND(AE112&lt;&gt;0,AE112&lt;&gt;""),IF(AF112="○","入力済","未入力"),"")</f>
        <v>入力済</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対象</v>
      </c>
      <c r="AV112" s="836">
        <f>IF(AND(P112&lt;&gt;"処遇改善加算Ⅲ",P112&lt;&gt;"処遇改善加算Ⅳ", P112&lt;&gt;"", AU112&lt;&gt;"対象外"), 1,"")</f>
        <v>1</v>
      </c>
      <c r="AW112" s="836" t="str">
        <f>IFERROR("_"&amp;VLOOKUP(K112, 【参考】数式用２!$AG$2:$AH$48, 2, FALSE), "")</f>
        <v>_32</v>
      </c>
      <c r="AX112" s="1097" t="str">
        <f>IF(AND(P112="処遇改善加算Ⅰ", AL112=""), "未入力","入力済")</f>
        <v>入力済</v>
      </c>
      <c r="AY112" s="1094" t="str">
        <f>G112</f>
        <v>千代田区</v>
      </c>
      <c r="AZ112"/>
      <c r="BA112"/>
      <c r="BB112"/>
      <c r="BC112"/>
      <c r="BD112"/>
      <c r="BE112"/>
      <c r="BF112"/>
      <c r="BG112"/>
    </row>
    <row r="113" spans="1:59" ht="1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IF(基本情報入力シート!B67="", "",基本情報入力シート!B67)</f>
        <v>1111111133</v>
      </c>
      <c r="C116" s="1219"/>
      <c r="D116" s="1219"/>
      <c r="E116" s="1219"/>
      <c r="F116" s="1220"/>
      <c r="G116" s="1221" t="str">
        <f>IF(基本情報入力シート!L67="", "",基本情報入力シート!L67)</f>
        <v>千代田区</v>
      </c>
      <c r="H116" s="1221" t="str">
        <f>IF(基本情報入力シート!Q67="", "",基本情報入力シート!Q67)</f>
        <v>東京都</v>
      </c>
      <c r="I116" s="1221" t="str">
        <f>IF(基本情報入力シート!V67="", "",基本情報入力シート!V67)</f>
        <v>千代田区</v>
      </c>
      <c r="J116" s="1221" t="str">
        <f>IF(基本情報入力シート!W67="", "",基本情報入力シート!W67)</f>
        <v>○○GH</v>
      </c>
      <c r="K116" s="1221" t="str">
        <f>IF(基本情報入力シート!X67="", "",基本情報入力シート!X67)</f>
        <v>認知症対応型共同生活介護（短期利用型）</v>
      </c>
      <c r="L116" s="1222">
        <f>IF(基本情報入力シート!AC67=0, "",基本情報入力シート!AC67)</f>
        <v>750000</v>
      </c>
      <c r="M116" s="1215">
        <f>IF(基本情報入力シート!AD67="", "",基本情報入力シート!AD67)</f>
        <v>10.9</v>
      </c>
      <c r="N116" s="1103" t="s">
        <v>485</v>
      </c>
      <c r="O116" s="1106">
        <f>IFERROR(VLOOKUP(K116,【参考】数式用２!$A$2:$AD$48,MATCH(N116,【参考】数式用２!$C$4:$AD$4,0)+2,0),"")</f>
        <v>0.125</v>
      </c>
      <c r="P116" s="1055" t="s">
        <v>476</v>
      </c>
      <c r="Q116" s="1068">
        <f>IFERROR(VLOOKUP(K116,【参考】数式用２!$A$2:$AC$48,MATCH(P116,【参考】数式用２!$C$4:$AC$4,0)+2,0),"")</f>
        <v>0.186</v>
      </c>
      <c r="R116" s="1071" t="s">
        <v>388</v>
      </c>
      <c r="S116" s="1059">
        <v>7</v>
      </c>
      <c r="T116" s="1062" t="s">
        <v>477</v>
      </c>
      <c r="U116" s="1059">
        <v>4</v>
      </c>
      <c r="V116" s="1062" t="s">
        <v>478</v>
      </c>
      <c r="W116" s="1059">
        <v>8</v>
      </c>
      <c r="X116" s="1062" t="s">
        <v>477</v>
      </c>
      <c r="Y116" s="1059">
        <v>3</v>
      </c>
      <c r="Z116" s="1062" t="s">
        <v>479</v>
      </c>
      <c r="AA116" s="1062" t="s">
        <v>291</v>
      </c>
      <c r="AB116" s="1062">
        <f>IF(S116&gt;=1,(W116*12+Y116)-(S116*12+U116)+1,"")</f>
        <v>12</v>
      </c>
      <c r="AC116" s="1086" t="s">
        <v>480</v>
      </c>
      <c r="AD116" s="1065">
        <f>IFERROR(ROUNDDOWN(ROUND(L116*Q116,0)*M116,0)*AB116,"")</f>
        <v>18246600</v>
      </c>
      <c r="AE116" s="1089">
        <f>IFERROR(ROUNDDOWN(ROUNDDOWN(ROUND(L116*VLOOKUP(K116,【参考】数式用２!$A$2:$AC$48,MATCH("処遇改善加算Ⅳ",【参考】数式用２!$C$4:$O$4,0)+2,0),0)*M116,0)*AB116*0.5,0), "")</f>
        <v>6131250</v>
      </c>
      <c r="AF116" s="1074" t="s">
        <v>47</v>
      </c>
      <c r="AG116" s="1065" t="str">
        <f>IF(AND(AQ116&lt;&gt;"対象外", P116&lt;&gt;""),ROUNDDOWN(ROUND(L116*VLOOKUP(K116,【参考】数式用２!$A$2:$K$48,MATCH("ベア加算あり",【参考】数式用２!$C$4:$K$4,0)+2,0),0)*M116,0)*AB116,"")</f>
        <v/>
      </c>
      <c r="AH116" s="1083"/>
      <c r="AI116" s="1074" t="s">
        <v>47</v>
      </c>
      <c r="AJ116" s="1074" t="s">
        <v>481</v>
      </c>
      <c r="AK116" s="1077"/>
      <c r="AL116" s="1080" t="s">
        <v>489</v>
      </c>
      <c r="AM116" s="690" t="str">
        <f t="shared" ref="AM116" si="75">IF(Q116="","",IF(Q116&lt;O116,"！加算の要件上は問題ありませんが、令和６年度末の加算率と比較して、令和７年度の加算率が低くなっています。",""))</f>
        <v/>
      </c>
      <c r="AN116" s="385"/>
      <c r="AO116" s="1094" t="str">
        <f>IF(K116&lt;&gt;"","Q列に色付け","")</f>
        <v>Q列に色付け</v>
      </c>
      <c r="AP116" s="1058" t="str">
        <f>IF(AND(AE116&lt;&gt;0,AE116&lt;&gt;""),IF(AF116="○","入力済","未入力"),"")</f>
        <v>入力済</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対象外</v>
      </c>
      <c r="AV116" s="836" t="str">
        <f>IF(AND(P116&lt;&gt;"処遇改善加算Ⅲ",P116&lt;&gt;"処遇改善加算Ⅳ", P116&lt;&gt;"", AU116&lt;&gt;"対象外"), 1,"")</f>
        <v/>
      </c>
      <c r="AW116" s="836" t="str">
        <f>IFERROR("_"&amp;VLOOKUP(K116, 【参考】数式用２!$AG$2:$AH$48, 2, FALSE), "")</f>
        <v>_38</v>
      </c>
      <c r="AX116" s="1097" t="str">
        <f>IF(AND(P116="処遇改善加算Ⅰ", AL116=""), "未入力","入力済")</f>
        <v>入力済</v>
      </c>
      <c r="AY116" s="1094" t="str">
        <f>G116</f>
        <v>千代田区</v>
      </c>
      <c r="AZ116"/>
      <c r="BA116"/>
      <c r="BB116"/>
      <c r="BC116"/>
      <c r="BD116"/>
      <c r="BE116"/>
      <c r="BF116"/>
      <c r="BG116"/>
    </row>
    <row r="117" spans="1:59" ht="1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IF(基本情報入力シート!B68="", "",基本情報入力シート!B68)</f>
        <v>1111111134</v>
      </c>
      <c r="C120" s="1219"/>
      <c r="D120" s="1219"/>
      <c r="E120" s="1219"/>
      <c r="F120" s="1220"/>
      <c r="G120" s="1221" t="str">
        <f>IF(基本情報入力シート!L68="", "",基本情報入力シート!L68)</f>
        <v>千代田区</v>
      </c>
      <c r="H120" s="1221" t="str">
        <f>IF(基本情報入力シート!Q68="", "",基本情報入力シート!Q68)</f>
        <v>東京都</v>
      </c>
      <c r="I120" s="1221" t="str">
        <f>IF(基本情報入力シート!V68="", "",基本情報入力シート!V68)</f>
        <v>千代田区</v>
      </c>
      <c r="J120" s="1221" t="str">
        <f>IF(基本情報入力シート!W68="", "",基本情報入力シート!W68)</f>
        <v>○○GH</v>
      </c>
      <c r="K120" s="1221" t="str">
        <f>IF(基本情報入力シート!X68="", "",基本情報入力シート!X68)</f>
        <v>介護予防認知症対応型共同生活介護</v>
      </c>
      <c r="L120" s="1222">
        <f>IF(基本情報入力シート!AC68=0, "",基本情報入力シート!AC68)</f>
        <v>750000</v>
      </c>
      <c r="M120" s="1215">
        <f>IF(基本情報入力シート!AD68="", "",基本情報入力シート!AD68)</f>
        <v>10.9</v>
      </c>
      <c r="N120" s="1103" t="s">
        <v>485</v>
      </c>
      <c r="O120" s="1106">
        <f>IFERROR(VLOOKUP(K120,【参考】数式用２!$A$2:$AD$48,MATCH(N120,【参考】数式用２!$C$4:$AD$4,0)+2,0),"")</f>
        <v>0.125</v>
      </c>
      <c r="P120" s="1055" t="s">
        <v>476</v>
      </c>
      <c r="Q120" s="1068">
        <f>IFERROR(VLOOKUP(K120,【参考】数式用２!$A$2:$AC$48,MATCH(P120,【参考】数式用２!$C$4:$AC$4,0)+2,0),"")</f>
        <v>0.186</v>
      </c>
      <c r="R120" s="1071" t="s">
        <v>388</v>
      </c>
      <c r="S120" s="1059">
        <v>7</v>
      </c>
      <c r="T120" s="1062" t="s">
        <v>477</v>
      </c>
      <c r="U120" s="1059">
        <v>4</v>
      </c>
      <c r="V120" s="1062" t="s">
        <v>478</v>
      </c>
      <c r="W120" s="1059">
        <v>8</v>
      </c>
      <c r="X120" s="1062" t="s">
        <v>477</v>
      </c>
      <c r="Y120" s="1059">
        <v>3</v>
      </c>
      <c r="Z120" s="1062" t="s">
        <v>479</v>
      </c>
      <c r="AA120" s="1062" t="s">
        <v>291</v>
      </c>
      <c r="AB120" s="1062">
        <f>IF(S120&gt;=1,(W120*12+Y120)-(S120*12+U120)+1,"")</f>
        <v>12</v>
      </c>
      <c r="AC120" s="1086" t="s">
        <v>480</v>
      </c>
      <c r="AD120" s="1065">
        <f>IFERROR(ROUNDDOWN(ROUND(L120*Q120,0)*M120,0)*AB120,"")</f>
        <v>18246600</v>
      </c>
      <c r="AE120" s="1089">
        <f>IFERROR(ROUNDDOWN(ROUNDDOWN(ROUND(L120*VLOOKUP(K120,【参考】数式用２!$A$2:$AC$48,MATCH("処遇改善加算Ⅳ",【参考】数式用２!$C$4:$O$4,0)+2,0),0)*M120,0)*AB120*0.5,0), "")</f>
        <v>6131250</v>
      </c>
      <c r="AF120" s="1074" t="s">
        <v>47</v>
      </c>
      <c r="AG120" s="1065" t="str">
        <f>IF(AND(AQ120&lt;&gt;"対象外", P120&lt;&gt;""),ROUNDDOWN(ROUND(L120*VLOOKUP(K120,【参考】数式用２!$A$2:$K$48,MATCH("ベア加算あり",【参考】数式用２!$C$4:$K$4,0)+2,0),0)*M120,0)*AB120,"")</f>
        <v/>
      </c>
      <c r="AH120" s="1083"/>
      <c r="AI120" s="1074" t="s">
        <v>47</v>
      </c>
      <c r="AJ120" s="1074" t="s">
        <v>47</v>
      </c>
      <c r="AK120" s="1077"/>
      <c r="AL120" s="1080" t="s">
        <v>489</v>
      </c>
      <c r="AM120" s="690" t="str">
        <f t="shared" ref="AM120" si="78">IF(Q120="","",IF(Q120&lt;O120,"！加算の要件上は問題ありませんが、令和６年度末の加算率と比較して、令和７年度の加算率が低くなっています。",""))</f>
        <v/>
      </c>
      <c r="AN120" s="385"/>
      <c r="AO120" s="1094" t="str">
        <f>IF(K120&lt;&gt;"","Q列に色付け","")</f>
        <v>Q列に色付け</v>
      </c>
      <c r="AP120" s="1058" t="str">
        <f>IF(AND(AE120&lt;&gt;0,AE120&lt;&gt;""),IF(AF120="○","入力済","未入力"),"")</f>
        <v>入力済</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対象外</v>
      </c>
      <c r="AV120" s="836" t="str">
        <f>IF(AND(P120&lt;&gt;"処遇改善加算Ⅲ",P120&lt;&gt;"処遇改善加算Ⅳ", P120&lt;&gt;"", AU120&lt;&gt;"対象外"), 1,"")</f>
        <v/>
      </c>
      <c r="AW120" s="836" t="str">
        <f>IFERROR("_"&amp;VLOOKUP(K120, 【参考】数式用２!$AG$2:$AH$48, 2, FALSE), "")</f>
        <v>_37</v>
      </c>
      <c r="AX120" s="1097" t="str">
        <f>IF(AND(P120="処遇改善加算Ⅰ", AL120=""), "未入力","入力済")</f>
        <v>入力済</v>
      </c>
      <c r="AY120" s="1094" t="str">
        <f>G120</f>
        <v>千代田区</v>
      </c>
      <c r="AZ120"/>
      <c r="BA120"/>
      <c r="BB120"/>
      <c r="BC120"/>
      <c r="BD120"/>
      <c r="BE120"/>
      <c r="BF120"/>
      <c r="BG120"/>
    </row>
    <row r="121" spans="1:59" ht="1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IF(基本情報入力シート!B69="", "",基本情報入力シート!B69)</f>
        <v>1111111135</v>
      </c>
      <c r="C124" s="1219"/>
      <c r="D124" s="1219"/>
      <c r="E124" s="1219"/>
      <c r="F124" s="1220"/>
      <c r="G124" s="1221" t="str">
        <f>IF(基本情報入力シート!L69="", "",基本情報入力シート!L69)</f>
        <v>千代田区</v>
      </c>
      <c r="H124" s="1221" t="str">
        <f>IF(基本情報入力シート!Q69="", "",基本情報入力シート!Q69)</f>
        <v>東京都</v>
      </c>
      <c r="I124" s="1221" t="str">
        <f>IF(基本情報入力シート!V69="", "",基本情報入力シート!V69)</f>
        <v>千代田区</v>
      </c>
      <c r="J124" s="1221" t="str">
        <f>IF(基本情報入力シート!W69="", "",基本情報入力シート!W69)</f>
        <v>○○GH</v>
      </c>
      <c r="K124" s="1221" t="str">
        <f>IF(基本情報入力シート!X69="", "",基本情報入力シート!X69)</f>
        <v>介護予防認知症対応型共同生活介護（短期利用型）</v>
      </c>
      <c r="L124" s="1222">
        <f>IF(基本情報入力シート!AC69=0, "",基本情報入力シート!AC69)</f>
        <v>750000</v>
      </c>
      <c r="M124" s="1215">
        <f>IF(基本情報入力シート!AD69="", "",基本情報入力シート!AD69)</f>
        <v>10.9</v>
      </c>
      <c r="N124" s="1103" t="s">
        <v>485</v>
      </c>
      <c r="O124" s="1106">
        <f>IFERROR(VLOOKUP(K124,【参考】数式用２!$A$2:$AD$48,MATCH(N124,【参考】数式用２!$C$4:$AD$4,0)+2,0),"")</f>
        <v>0.125</v>
      </c>
      <c r="P124" s="1055" t="s">
        <v>476</v>
      </c>
      <c r="Q124" s="1068">
        <f>IFERROR(VLOOKUP(K124,【参考】数式用２!$A$2:$AC$48,MATCH(P124,【参考】数式用２!$C$4:$AC$4,0)+2,0),"")</f>
        <v>0.186</v>
      </c>
      <c r="R124" s="1071" t="s">
        <v>388</v>
      </c>
      <c r="S124" s="1059">
        <v>7</v>
      </c>
      <c r="T124" s="1062" t="s">
        <v>477</v>
      </c>
      <c r="U124" s="1059">
        <v>4</v>
      </c>
      <c r="V124" s="1062" t="s">
        <v>478</v>
      </c>
      <c r="W124" s="1059">
        <v>8</v>
      </c>
      <c r="X124" s="1062" t="s">
        <v>477</v>
      </c>
      <c r="Y124" s="1059">
        <v>3</v>
      </c>
      <c r="Z124" s="1062" t="s">
        <v>479</v>
      </c>
      <c r="AA124" s="1062" t="s">
        <v>291</v>
      </c>
      <c r="AB124" s="1062">
        <f>IF(S124&gt;=1,(W124*12+Y124)-(S124*12+U124)+1,"")</f>
        <v>12</v>
      </c>
      <c r="AC124" s="1086" t="s">
        <v>480</v>
      </c>
      <c r="AD124" s="1065">
        <f>IFERROR(ROUNDDOWN(ROUND(L124*Q124,0)*M124,0)*AB124,"")</f>
        <v>18246600</v>
      </c>
      <c r="AE124" s="1089">
        <f>IFERROR(ROUNDDOWN(ROUNDDOWN(ROUND(L124*VLOOKUP(K124,【参考】数式用２!$A$2:$AC$48,MATCH("処遇改善加算Ⅳ",【参考】数式用２!$C$4:$O$4,0)+2,0),0)*M124,0)*AB124*0.5,0), "")</f>
        <v>6131250</v>
      </c>
      <c r="AF124" s="1074" t="s">
        <v>47</v>
      </c>
      <c r="AG124" s="1065" t="str">
        <f>IF(AND(AQ124&lt;&gt;"対象外", P124&lt;&gt;""),ROUNDDOWN(ROUND(L124*VLOOKUP(K124,【参考】数式用２!$A$2:$K$48,MATCH("ベア加算あり",【参考】数式用２!$C$4:$K$4,0)+2,0),0)*M124,0)*AB124,"")</f>
        <v/>
      </c>
      <c r="AH124" s="1083"/>
      <c r="AI124" s="1074" t="s">
        <v>481</v>
      </c>
      <c r="AJ124" s="1074" t="s">
        <v>481</v>
      </c>
      <c r="AK124" s="1077"/>
      <c r="AL124" s="1080" t="s">
        <v>489</v>
      </c>
      <c r="AM124" s="690" t="str">
        <f t="shared" ref="AM124" si="81">IF(Q124="","",IF(Q124&lt;O124,"！加算の要件上は問題ありませんが、令和６年度末の加算率と比較して、令和７年度の加算率が低くなっています。",""))</f>
        <v/>
      </c>
      <c r="AN124" s="385"/>
      <c r="AO124" s="1094" t="str">
        <f>IF(K124&lt;&gt;"","Q列に色付け","")</f>
        <v>Q列に色付け</v>
      </c>
      <c r="AP124" s="1058" t="str">
        <f>IF(AND(AE124&lt;&gt;0,AE124&lt;&gt;""),IF(AF124="○","入力済","未入力"),"")</f>
        <v>入力済</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対象外</v>
      </c>
      <c r="AV124" s="836" t="str">
        <f>IF(AND(P124&lt;&gt;"処遇改善加算Ⅲ",P124&lt;&gt;"処遇改善加算Ⅳ", P124&lt;&gt;"", AU124&lt;&gt;"対象外"), 1,"")</f>
        <v/>
      </c>
      <c r="AW124" s="836" t="str">
        <f>IFERROR("_"&amp;VLOOKUP(K124, 【参考】数式用２!$AG$2:$AH$48, 2, FALSE), "")</f>
        <v>_39</v>
      </c>
      <c r="AX124" s="1097" t="str">
        <f>IF(AND(P124="処遇改善加算Ⅰ", AL124=""), "未入力","入力済")</f>
        <v>入力済</v>
      </c>
      <c r="AY124" s="1094" t="str">
        <f>G124</f>
        <v>千代田区</v>
      </c>
      <c r="AZ124"/>
      <c r="BA124"/>
      <c r="BB124"/>
      <c r="BC124"/>
      <c r="BD124"/>
      <c r="BE124"/>
      <c r="BF124"/>
      <c r="BG124"/>
    </row>
    <row r="125" spans="1:59" ht="1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IF(基本情報入力シート!B70="", "",基本情報入力シート!B70)</f>
        <v>1111111136</v>
      </c>
      <c r="C128" s="1219"/>
      <c r="D128" s="1219"/>
      <c r="E128" s="1219"/>
      <c r="F128" s="1220"/>
      <c r="G128" s="1221" t="str">
        <f>IF(基本情報入力シート!L70="", "",基本情報入力シート!L70)</f>
        <v>東京都</v>
      </c>
      <c r="H128" s="1221" t="str">
        <f>IF(基本情報入力シート!Q70="", "",基本情報入力シート!Q70)</f>
        <v>東京都</v>
      </c>
      <c r="I128" s="1221" t="str">
        <f>IF(基本情報入力シート!V70="", "",基本情報入力シート!V70)</f>
        <v>千代田区</v>
      </c>
      <c r="J128" s="1221" t="str">
        <f>IF(基本情報入力シート!W70="", "",基本情報入力シート!W70)</f>
        <v>○○施設</v>
      </c>
      <c r="K128" s="1221" t="str">
        <f>IF(基本情報入力シート!X70="", "",基本情報入力シート!X70)</f>
        <v>介護老人福祉施設サービス</v>
      </c>
      <c r="L128" s="1222">
        <f>IF(基本情報入力シート!AC70=0, "",基本情報入力シート!AC70)</f>
        <v>750000</v>
      </c>
      <c r="M128" s="1215">
        <f>IF(基本情報入力シート!AD70="", "",基本情報入力シート!AD70)</f>
        <v>10.9</v>
      </c>
      <c r="N128" s="1103" t="s">
        <v>485</v>
      </c>
      <c r="O128" s="1106">
        <f>IFERROR(VLOOKUP(K128,【参考】数式用２!$A$2:$AD$48,MATCH(N128,【参考】数式用２!$C$4:$AD$4,0)+2,0),"")</f>
        <v>0.09</v>
      </c>
      <c r="P128" s="1055" t="s">
        <v>476</v>
      </c>
      <c r="Q128" s="1068">
        <f>IFERROR(VLOOKUP(K128,【参考】数式用２!$A$2:$AC$48,MATCH(P128,【参考】数式用２!$C$4:$AC$4,0)+2,0),"")</f>
        <v>0.14000000000000001</v>
      </c>
      <c r="R128" s="1071" t="s">
        <v>388</v>
      </c>
      <c r="S128" s="1059">
        <v>7</v>
      </c>
      <c r="T128" s="1062" t="s">
        <v>477</v>
      </c>
      <c r="U128" s="1059">
        <v>4</v>
      </c>
      <c r="V128" s="1062" t="s">
        <v>478</v>
      </c>
      <c r="W128" s="1059">
        <v>8</v>
      </c>
      <c r="X128" s="1062" t="s">
        <v>477</v>
      </c>
      <c r="Y128" s="1059">
        <v>3</v>
      </c>
      <c r="Z128" s="1062" t="s">
        <v>479</v>
      </c>
      <c r="AA128" s="1062" t="s">
        <v>291</v>
      </c>
      <c r="AB128" s="1062">
        <f>IF(S128&gt;=1,(W128*12+Y128)-(S128*12+U128)+1,"")</f>
        <v>12</v>
      </c>
      <c r="AC128" s="1086" t="s">
        <v>480</v>
      </c>
      <c r="AD128" s="1065">
        <f>IFERROR(ROUNDDOWN(ROUND(L128*Q128,0)*M128,0)*AB128,"")</f>
        <v>13734000</v>
      </c>
      <c r="AE128" s="1089">
        <f>IFERROR(ROUNDDOWN(ROUNDDOWN(ROUND(L128*VLOOKUP(K128,【参考】数式用２!$A$2:$AC$48,MATCH("処遇改善加算Ⅳ",【参考】数式用２!$C$4:$O$4,0)+2,0),0)*M128,0)*AB128*0.5,0), "")</f>
        <v>4414500</v>
      </c>
      <c r="AF128" s="1074" t="s">
        <v>47</v>
      </c>
      <c r="AG128" s="1065" t="str">
        <f>IF(AND(AQ128&lt;&gt;"対象外", P128&lt;&gt;""),ROUNDDOWN(ROUND(L128*VLOOKUP(K128,【参考】数式用２!$A$2:$K$48,MATCH("ベア加算あり",【参考】数式用２!$C$4:$K$4,0)+2,0),0)*M128,0)*AB128,"")</f>
        <v/>
      </c>
      <c r="AH128" s="1083"/>
      <c r="AI128" s="1074" t="s">
        <v>481</v>
      </c>
      <c r="AJ128" s="1074" t="s">
        <v>481</v>
      </c>
      <c r="AK128" s="1077">
        <v>1</v>
      </c>
      <c r="AL128" s="1080" t="s">
        <v>489</v>
      </c>
      <c r="AM128" s="690" t="str">
        <f t="shared" ref="AM128" si="84">IF(Q128="","",IF(Q128&lt;O128,"！加算の要件上は問題ありませんが、令和６年度末の加算率と比較して、令和７年度の加算率が低くなっています。",""))</f>
        <v/>
      </c>
      <c r="AN128" s="385"/>
      <c r="AO128" s="1094" t="str">
        <f>IF(K128&lt;&gt;"","Q列に色付け","")</f>
        <v>Q列に色付け</v>
      </c>
      <c r="AP128" s="1058" t="str">
        <f>IF(AND(AE128&lt;&gt;0,AE128&lt;&gt;""),IF(AF128="○","入力済","未入力"),"")</f>
        <v>入力済</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対象</v>
      </c>
      <c r="AV128" s="836">
        <f>IF(AND(P128&lt;&gt;"処遇改善加算Ⅲ",P128&lt;&gt;"処遇改善加算Ⅳ", P128&lt;&gt;"", AU128&lt;&gt;"対象外"), 1,"")</f>
        <v>1</v>
      </c>
      <c r="AW128" s="836" t="str">
        <f>IFERROR("_"&amp;VLOOKUP(K128, 【参考】数式用２!$AG$2:$AH$48, 2, FALSE), "")</f>
        <v>_51</v>
      </c>
      <c r="AX128" s="1097" t="str">
        <f>IF(AND(P128="処遇改善加算Ⅰ", AL128=""), "未入力","入力済")</f>
        <v>入力済</v>
      </c>
      <c r="AY128" s="1094" t="str">
        <f>G128</f>
        <v>東京都</v>
      </c>
      <c r="AZ128"/>
      <c r="BA128"/>
      <c r="BB128"/>
      <c r="BC128"/>
      <c r="BD128"/>
      <c r="BE128"/>
      <c r="BF128"/>
      <c r="BG128"/>
    </row>
    <row r="129" spans="1:59" ht="1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IF(基本情報入力シート!B71="", "",基本情報入力シート!B71)</f>
        <v>1111111137</v>
      </c>
      <c r="C132" s="1219"/>
      <c r="D132" s="1219"/>
      <c r="E132" s="1219"/>
      <c r="F132" s="1220"/>
      <c r="G132" s="1221" t="str">
        <f>IF(基本情報入力シート!L71="", "",基本情報入力シート!L71)</f>
        <v>千代田区</v>
      </c>
      <c r="H132" s="1221" t="str">
        <f>IF(基本情報入力シート!Q71="", "",基本情報入力シート!Q71)</f>
        <v>東京都</v>
      </c>
      <c r="I132" s="1221" t="str">
        <f>IF(基本情報入力シート!V71="", "",基本情報入力シート!V71)</f>
        <v>千代田区</v>
      </c>
      <c r="J132" s="1221" t="str">
        <f>IF(基本情報入力シート!W71="", "",基本情報入力シート!W71)</f>
        <v>○○施設</v>
      </c>
      <c r="K132" s="1221" t="str">
        <f>IF(基本情報入力シート!X71="", "",基本情報入力シート!X71)</f>
        <v>地域密着型介護老人福祉施設</v>
      </c>
      <c r="L132" s="1222">
        <f>IF(基本情報入力シート!AC71=0, "",基本情報入力シート!AC71)</f>
        <v>750000</v>
      </c>
      <c r="M132" s="1215">
        <f>IF(基本情報入力シート!AD71="", "",基本情報入力シート!AD71)</f>
        <v>10.9</v>
      </c>
      <c r="N132" s="1103" t="s">
        <v>485</v>
      </c>
      <c r="O132" s="1106">
        <f>IFERROR(VLOOKUP(K132,【参考】数式用２!$A$2:$AD$48,MATCH(N132,【参考】数式用２!$C$4:$AD$4,0)+2,0),"")</f>
        <v>0.09</v>
      </c>
      <c r="P132" s="1055" t="s">
        <v>476</v>
      </c>
      <c r="Q132" s="1068">
        <f>IFERROR(VLOOKUP(K132,【参考】数式用２!$A$2:$AC$48,MATCH(P132,【参考】数式用２!$C$4:$AC$4,0)+2,0),"")</f>
        <v>0.14000000000000001</v>
      </c>
      <c r="R132" s="1071" t="s">
        <v>388</v>
      </c>
      <c r="S132" s="1059">
        <v>7</v>
      </c>
      <c r="T132" s="1062" t="s">
        <v>477</v>
      </c>
      <c r="U132" s="1059">
        <v>4</v>
      </c>
      <c r="V132" s="1062" t="s">
        <v>478</v>
      </c>
      <c r="W132" s="1059">
        <v>8</v>
      </c>
      <c r="X132" s="1062" t="s">
        <v>477</v>
      </c>
      <c r="Y132" s="1059">
        <v>3</v>
      </c>
      <c r="Z132" s="1062" t="s">
        <v>479</v>
      </c>
      <c r="AA132" s="1062" t="s">
        <v>291</v>
      </c>
      <c r="AB132" s="1062">
        <f>IF(S132&gt;=1,(W132*12+Y132)-(S132*12+U132)+1,"")</f>
        <v>12</v>
      </c>
      <c r="AC132" s="1086" t="s">
        <v>480</v>
      </c>
      <c r="AD132" s="1065">
        <f>IFERROR(ROUNDDOWN(ROUND(L132*Q132,0)*M132,0)*AB132,"")</f>
        <v>13734000</v>
      </c>
      <c r="AE132" s="1089">
        <f>IFERROR(ROUNDDOWN(ROUNDDOWN(ROUND(L132*VLOOKUP(K132,【参考】数式用２!$A$2:$AC$48,MATCH("処遇改善加算Ⅳ",【参考】数式用２!$C$4:$O$4,0)+2,0),0)*M132,0)*AB132*0.5,0), "")</f>
        <v>4414500</v>
      </c>
      <c r="AF132" s="1074" t="s">
        <v>47</v>
      </c>
      <c r="AG132" s="1065" t="str">
        <f>IF(AND(AQ132&lt;&gt;"対象外", P132&lt;&gt;""),ROUNDDOWN(ROUND(L132*VLOOKUP(K132,【参考】数式用２!$A$2:$K$48,MATCH("ベア加算あり",【参考】数式用２!$C$4:$K$4,0)+2,0),0)*M132,0)*AB132,"")</f>
        <v/>
      </c>
      <c r="AH132" s="1083"/>
      <c r="AI132" s="1074" t="s">
        <v>47</v>
      </c>
      <c r="AJ132" s="1074" t="s">
        <v>47</v>
      </c>
      <c r="AK132" s="1077">
        <v>1</v>
      </c>
      <c r="AL132" s="1080" t="s">
        <v>489</v>
      </c>
      <c r="AM132" s="690" t="str">
        <f t="shared" ref="AM132" si="87">IF(Q132="","",IF(Q132&lt;O132,"！加算の要件上は問題ありませんが、令和６年度末の加算率と比較して、令和７年度の加算率が低くなっています。",""))</f>
        <v/>
      </c>
      <c r="AN132" s="385"/>
      <c r="AO132" s="1094" t="str">
        <f>IF(K132&lt;&gt;"","Q列に色付け","")</f>
        <v>Q列に色付け</v>
      </c>
      <c r="AP132" s="1058" t="str">
        <f>IF(AND(AE132&lt;&gt;0,AE132&lt;&gt;""),IF(AF132="○","入力済","未入力"),"")</f>
        <v>入力済</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対象</v>
      </c>
      <c r="AV132" s="836">
        <f>IF(AND(P132&lt;&gt;"処遇改善加算Ⅲ",P132&lt;&gt;"処遇改善加算Ⅳ", P132&lt;&gt;"", AU132&lt;&gt;"対象外"), 1,"")</f>
        <v>1</v>
      </c>
      <c r="AW132" s="836" t="str">
        <f>IFERROR("_"&amp;VLOOKUP(K132, 【参考】数式用２!$AG$2:$AH$48, 2, FALSE), "")</f>
        <v>_54</v>
      </c>
      <c r="AX132" s="1097" t="str">
        <f>IF(AND(P132="処遇改善加算Ⅰ", AL132=""), "未入力","入力済")</f>
        <v>入力済</v>
      </c>
      <c r="AY132" s="1094" t="str">
        <f>G132</f>
        <v>千代田区</v>
      </c>
      <c r="AZ132"/>
      <c r="BA132"/>
      <c r="BB132"/>
      <c r="BC132"/>
      <c r="BD132"/>
      <c r="BE132"/>
      <c r="BF132"/>
      <c r="BG132"/>
    </row>
    <row r="133" spans="1:59" ht="1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IF(基本情報入力シート!B72="", "",基本情報入力シート!B72)</f>
        <v>1111111138</v>
      </c>
      <c r="C136" s="1219"/>
      <c r="D136" s="1219"/>
      <c r="E136" s="1219"/>
      <c r="F136" s="1220"/>
      <c r="G136" s="1221" t="str">
        <f>IF(基本情報入力シート!L72="", "",基本情報入力シート!L72)</f>
        <v>東京都</v>
      </c>
      <c r="H136" s="1221" t="str">
        <f>IF(基本情報入力シート!Q72="", "",基本情報入力シート!Q72)</f>
        <v>東京都</v>
      </c>
      <c r="I136" s="1221" t="str">
        <f>IF(基本情報入力シート!V72="", "",基本情報入力シート!V72)</f>
        <v>千代田区</v>
      </c>
      <c r="J136" s="1221" t="str">
        <f>IF(基本情報入力シート!W72="", "",基本情報入力シート!W72)</f>
        <v>○○施設</v>
      </c>
      <c r="K136" s="1221" t="str">
        <f>IF(基本情報入力シート!X72="", "",基本情報入力シート!X72)</f>
        <v>短期入所生活介護</v>
      </c>
      <c r="L136" s="1222">
        <f>IF(基本情報入力シート!AC72=0, "",基本情報入力シート!AC72)</f>
        <v>750000</v>
      </c>
      <c r="M136" s="1215">
        <f>IF(基本情報入力シート!AD72="", "",基本情報入力シート!AD72)</f>
        <v>11.1</v>
      </c>
      <c r="N136" s="1103" t="s">
        <v>485</v>
      </c>
      <c r="O136" s="1106">
        <f>IFERROR(VLOOKUP(K136,【参考】数式用２!$A$2:$AD$48,MATCH(N136,【参考】数式用２!$C$4:$AD$4,0)+2,0),"")</f>
        <v>0.09</v>
      </c>
      <c r="P136" s="1055" t="s">
        <v>476</v>
      </c>
      <c r="Q136" s="1068">
        <f>IFERROR(VLOOKUP(K136,【参考】数式用２!$A$2:$AC$48,MATCH(P136,【参考】数式用２!$C$4:$AC$4,0)+2,0),"")</f>
        <v>0.14000000000000001</v>
      </c>
      <c r="R136" s="1071" t="s">
        <v>388</v>
      </c>
      <c r="S136" s="1059">
        <v>7</v>
      </c>
      <c r="T136" s="1062" t="s">
        <v>477</v>
      </c>
      <c r="U136" s="1059">
        <v>4</v>
      </c>
      <c r="V136" s="1062" t="s">
        <v>478</v>
      </c>
      <c r="W136" s="1059">
        <v>8</v>
      </c>
      <c r="X136" s="1062" t="s">
        <v>477</v>
      </c>
      <c r="Y136" s="1059">
        <v>3</v>
      </c>
      <c r="Z136" s="1062" t="s">
        <v>479</v>
      </c>
      <c r="AA136" s="1062" t="s">
        <v>291</v>
      </c>
      <c r="AB136" s="1062">
        <f>IF(S136&gt;=1,(W136*12+Y136)-(S136*12+U136)+1,"")</f>
        <v>12</v>
      </c>
      <c r="AC136" s="1086" t="s">
        <v>480</v>
      </c>
      <c r="AD136" s="1065">
        <f>IFERROR(ROUNDDOWN(ROUND(L136*Q136,0)*M136,0)*AB136,"")</f>
        <v>13986000</v>
      </c>
      <c r="AE136" s="1089">
        <f>IFERROR(ROUNDDOWN(ROUNDDOWN(ROUND(L136*VLOOKUP(K136,【参考】数式用２!$A$2:$AC$48,MATCH("処遇改善加算Ⅳ",【参考】数式用２!$C$4:$O$4,0)+2,0),0)*M136,0)*AB136*0.5,0), "")</f>
        <v>4495500</v>
      </c>
      <c r="AF136" s="1074" t="s">
        <v>47</v>
      </c>
      <c r="AG136" s="1065" t="str">
        <f>IF(AND(AQ136&lt;&gt;"対象外", P136&lt;&gt;""),ROUNDDOWN(ROUND(L136*VLOOKUP(K136,【参考】数式用２!$A$2:$K$48,MATCH("ベア加算あり",【参考】数式用２!$C$4:$K$4,0)+2,0),0)*M136,0)*AB136,"")</f>
        <v/>
      </c>
      <c r="AH136" s="1083"/>
      <c r="AI136" s="1074" t="s">
        <v>47</v>
      </c>
      <c r="AJ136" s="1074" t="s">
        <v>481</v>
      </c>
      <c r="AK136" s="1077"/>
      <c r="AL136" s="1080" t="s">
        <v>489</v>
      </c>
      <c r="AM136" s="690" t="str">
        <f t="shared" ref="AM136" si="90">IF(Q136="","",IF(Q136&lt;O136,"！加算の要件上は問題ありませんが、令和６年度末の加算率と比較して、令和７年度の加算率が低くなっています。",""))</f>
        <v/>
      </c>
      <c r="AN136" s="385"/>
      <c r="AO136" s="1094" t="str">
        <f>IF(K136&lt;&gt;"","Q列に色付け","")</f>
        <v>Q列に色付け</v>
      </c>
      <c r="AP136" s="1058" t="str">
        <f>IF(AND(AE136&lt;&gt;0,AE136&lt;&gt;""),IF(AF136="○","入力済","未入力"),"")</f>
        <v>入力済</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対象外</v>
      </c>
      <c r="AV136" s="836" t="str">
        <f>IF(AND(P136&lt;&gt;"処遇改善加算Ⅲ",P136&lt;&gt;"処遇改善加算Ⅳ", P136&lt;&gt;"", AU136&lt;&gt;"対象外"), 1,"")</f>
        <v/>
      </c>
      <c r="AW136" s="836" t="str">
        <f>IFERROR("_"&amp;VLOOKUP(K136, 【参考】数式用２!$AG$2:$AH$48, 2, FALSE), "")</f>
        <v>_21</v>
      </c>
      <c r="AX136" s="1097" t="str">
        <f>IF(AND(P136="処遇改善加算Ⅰ", AL136=""), "未入力","入力済")</f>
        <v>入力済</v>
      </c>
      <c r="AY136" s="1094" t="str">
        <f>G136</f>
        <v>東京都</v>
      </c>
      <c r="AZ136"/>
      <c r="BA136"/>
      <c r="BB136"/>
      <c r="BC136"/>
      <c r="BD136"/>
      <c r="BE136"/>
      <c r="BF136"/>
      <c r="BG136"/>
    </row>
    <row r="137" spans="1:59" ht="1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IF(基本情報入力シート!B73="", "",基本情報入力シート!B73)</f>
        <v>1111111139</v>
      </c>
      <c r="C140" s="1219"/>
      <c r="D140" s="1219"/>
      <c r="E140" s="1219"/>
      <c r="F140" s="1220"/>
      <c r="G140" s="1221" t="str">
        <f>IF(基本情報入力シート!L73="", "",基本情報入力シート!L73)</f>
        <v>東京都</v>
      </c>
      <c r="H140" s="1221" t="str">
        <f>IF(基本情報入力シート!Q73="", "",基本情報入力シート!Q73)</f>
        <v>東京都</v>
      </c>
      <c r="I140" s="1221" t="str">
        <f>IF(基本情報入力シート!V73="", "",基本情報入力シート!V73)</f>
        <v>千代田区</v>
      </c>
      <c r="J140" s="1221" t="str">
        <f>IF(基本情報入力シート!W73="", "",基本情報入力シート!W73)</f>
        <v>○○施設</v>
      </c>
      <c r="K140" s="1221" t="str">
        <f>IF(基本情報入力シート!X73="", "",基本情報入力シート!X73)</f>
        <v>介護予防短期入所生活介護</v>
      </c>
      <c r="L140" s="1222">
        <f>IF(基本情報入力シート!AC73=0, "",基本情報入力シート!AC73)</f>
        <v>750000</v>
      </c>
      <c r="M140" s="1215">
        <f>IF(基本情報入力シート!AD73="", "",基本情報入力シート!AD73)</f>
        <v>11.1</v>
      </c>
      <c r="N140" s="1103" t="s">
        <v>485</v>
      </c>
      <c r="O140" s="1106">
        <f>IFERROR(VLOOKUP(K140,【参考】数式用２!$A$2:$AD$48,MATCH(N140,【参考】数式用２!$C$4:$AD$4,0)+2,0),"")</f>
        <v>0.09</v>
      </c>
      <c r="P140" s="1055" t="s">
        <v>476</v>
      </c>
      <c r="Q140" s="1068">
        <f>IFERROR(VLOOKUP(K140,【参考】数式用２!$A$2:$AC$48,MATCH(P140,【参考】数式用２!$C$4:$AC$4,0)+2,0),"")</f>
        <v>0.14000000000000001</v>
      </c>
      <c r="R140" s="1071" t="s">
        <v>388</v>
      </c>
      <c r="S140" s="1059">
        <v>7</v>
      </c>
      <c r="T140" s="1062" t="s">
        <v>477</v>
      </c>
      <c r="U140" s="1059">
        <v>4</v>
      </c>
      <c r="V140" s="1062" t="s">
        <v>478</v>
      </c>
      <c r="W140" s="1059">
        <v>8</v>
      </c>
      <c r="X140" s="1062" t="s">
        <v>477</v>
      </c>
      <c r="Y140" s="1059">
        <v>3</v>
      </c>
      <c r="Z140" s="1062" t="s">
        <v>479</v>
      </c>
      <c r="AA140" s="1062" t="s">
        <v>291</v>
      </c>
      <c r="AB140" s="1062">
        <f>IF(S140&gt;=1,(W140*12+Y140)-(S140*12+U140)+1,"")</f>
        <v>12</v>
      </c>
      <c r="AC140" s="1086" t="s">
        <v>480</v>
      </c>
      <c r="AD140" s="1065">
        <f>IFERROR(ROUNDDOWN(ROUND(L140*Q140,0)*M140,0)*AB140,"")</f>
        <v>13986000</v>
      </c>
      <c r="AE140" s="1089">
        <f>IFERROR(ROUNDDOWN(ROUNDDOWN(ROUND(L140*VLOOKUP(K140,【参考】数式用２!$A$2:$AC$48,MATCH("処遇改善加算Ⅳ",【参考】数式用２!$C$4:$O$4,0)+2,0),0)*M140,0)*AB140*0.5,0), "")</f>
        <v>4495500</v>
      </c>
      <c r="AF140" s="1074" t="s">
        <v>47</v>
      </c>
      <c r="AG140" s="1065" t="str">
        <f>IF(AND(AQ140&lt;&gt;"対象外", P140&lt;&gt;""),ROUNDDOWN(ROUND(L140*VLOOKUP(K140,【参考】数式用２!$A$2:$K$48,MATCH("ベア加算あり",【参考】数式用２!$C$4:$K$4,0)+2,0),0)*M140,0)*AB140,"")</f>
        <v/>
      </c>
      <c r="AH140" s="1083"/>
      <c r="AI140" s="1074" t="s">
        <v>481</v>
      </c>
      <c r="AJ140" s="1074" t="s">
        <v>481</v>
      </c>
      <c r="AK140" s="1077"/>
      <c r="AL140" s="1080" t="s">
        <v>489</v>
      </c>
      <c r="AM140" s="690" t="str">
        <f t="shared" ref="AM140" si="93">IF(Q140="","",IF(Q140&lt;O140,"！加算の要件上は問題ありませんが、令和６年度末の加算率と比較して、令和７年度の加算率が低くなっています。",""))</f>
        <v/>
      </c>
      <c r="AN140" s="385"/>
      <c r="AO140" s="1094" t="str">
        <f>IF(K140&lt;&gt;"","Q列に色付け","")</f>
        <v>Q列に色付け</v>
      </c>
      <c r="AP140" s="1058" t="str">
        <f>IF(AND(AE140&lt;&gt;0,AE140&lt;&gt;""),IF(AF140="○","入力済","未入力"),"")</f>
        <v>入力済</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対象外</v>
      </c>
      <c r="AV140" s="836" t="str">
        <f>IF(AND(P140&lt;&gt;"処遇改善加算Ⅲ",P140&lt;&gt;"処遇改善加算Ⅳ", P140&lt;&gt;"", AU140&lt;&gt;"対象外"), 1,"")</f>
        <v/>
      </c>
      <c r="AW140" s="836" t="str">
        <f>IFERROR("_"&amp;VLOOKUP(K140, 【参考】数式用２!$AG$2:$AH$48, 2, FALSE), "")</f>
        <v>_24</v>
      </c>
      <c r="AX140" s="1097" t="str">
        <f>IF(AND(P140="処遇改善加算Ⅰ", AL140=""), "未入力","入力済")</f>
        <v>入力済</v>
      </c>
      <c r="AY140" s="1094" t="str">
        <f>G140</f>
        <v>東京都</v>
      </c>
      <c r="AZ140"/>
      <c r="BA140"/>
      <c r="BB140"/>
      <c r="BC140"/>
      <c r="BD140"/>
      <c r="BE140"/>
      <c r="BF140"/>
      <c r="BG140"/>
    </row>
    <row r="141" spans="1:59" ht="1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IF(基本情報入力シート!B74="", "",基本情報入力シート!B74)</f>
        <v>1111111140</v>
      </c>
      <c r="C144" s="1219"/>
      <c r="D144" s="1219"/>
      <c r="E144" s="1219"/>
      <c r="F144" s="1220"/>
      <c r="G144" s="1221" t="str">
        <f>IF(基本情報入力シート!L74="", "",基本情報入力シート!L74)</f>
        <v>東京都</v>
      </c>
      <c r="H144" s="1221" t="str">
        <f>IF(基本情報入力シート!Q74="", "",基本情報入力シート!Q74)</f>
        <v>東京都</v>
      </c>
      <c r="I144" s="1221" t="str">
        <f>IF(基本情報入力シート!V74="", "",基本情報入力シート!V74)</f>
        <v>千代田区</v>
      </c>
      <c r="J144" s="1221" t="str">
        <f>IF(基本情報入力シート!W74="", "",基本情報入力シート!W74)</f>
        <v>○○施設</v>
      </c>
      <c r="K144" s="1221" t="str">
        <f>IF(基本情報入力シート!X74="", "",基本情報入力シート!X74)</f>
        <v>介護老人保健施設サービス</v>
      </c>
      <c r="L144" s="1222">
        <f>IF(基本情報入力シート!AC74=0, "",基本情報入力シート!AC74)</f>
        <v>750000</v>
      </c>
      <c r="M144" s="1215">
        <f>IF(基本情報入力シート!AD74="", "",基本情報入力シート!AD74)</f>
        <v>10.9</v>
      </c>
      <c r="N144" s="1103" t="s">
        <v>485</v>
      </c>
      <c r="O144" s="1106">
        <f>IFERROR(VLOOKUP(K144,【参考】数式用２!$A$2:$AD$48,MATCH(N144,【参考】数式用２!$C$4:$AD$4,0)+2,0),"")</f>
        <v>4.4000000000000004E-2</v>
      </c>
      <c r="P144" s="1055" t="s">
        <v>476</v>
      </c>
      <c r="Q144" s="1068">
        <f>IFERROR(VLOOKUP(K144,【参考】数式用２!$A$2:$AC$48,MATCH(P144,【参考】数式用２!$C$4:$AC$4,0)+2,0),"")</f>
        <v>7.5000000000000011E-2</v>
      </c>
      <c r="R144" s="1071" t="s">
        <v>388</v>
      </c>
      <c r="S144" s="1059">
        <v>7</v>
      </c>
      <c r="T144" s="1062" t="s">
        <v>477</v>
      </c>
      <c r="U144" s="1059">
        <v>4</v>
      </c>
      <c r="V144" s="1062" t="s">
        <v>478</v>
      </c>
      <c r="W144" s="1059">
        <v>8</v>
      </c>
      <c r="X144" s="1062" t="s">
        <v>477</v>
      </c>
      <c r="Y144" s="1059">
        <v>3</v>
      </c>
      <c r="Z144" s="1062" t="s">
        <v>479</v>
      </c>
      <c r="AA144" s="1062" t="s">
        <v>291</v>
      </c>
      <c r="AB144" s="1062">
        <f>IF(S144&gt;=1,(W144*12+Y144)-(S144*12+U144)+1,"")</f>
        <v>12</v>
      </c>
      <c r="AC144" s="1086" t="s">
        <v>480</v>
      </c>
      <c r="AD144" s="1065">
        <f>IFERROR(ROUNDDOWN(ROUND(L144*Q144,0)*M144,0)*AB144,"")</f>
        <v>7357500</v>
      </c>
      <c r="AE144" s="1089">
        <f>IFERROR(ROUNDDOWN(ROUNDDOWN(ROUND(L144*VLOOKUP(K144,【参考】数式用２!$A$2:$AC$48,MATCH("処遇改善加算Ⅳ",【参考】数式用２!$C$4:$O$4,0)+2,0),0)*M144,0)*AB144*0.5,0), "")</f>
        <v>2158200</v>
      </c>
      <c r="AF144" s="1074" t="s">
        <v>47</v>
      </c>
      <c r="AG144" s="1065" t="str">
        <f>IF(AND(AQ144&lt;&gt;"対象外", P144&lt;&gt;""),ROUNDDOWN(ROUND(L144*VLOOKUP(K144,【参考】数式用２!$A$2:$K$48,MATCH("ベア加算あり",【参考】数式用２!$C$4:$K$4,0)+2,0),0)*M144,0)*AB144,"")</f>
        <v/>
      </c>
      <c r="AH144" s="1083"/>
      <c r="AI144" s="1074" t="s">
        <v>481</v>
      </c>
      <c r="AJ144" s="1074" t="s">
        <v>47</v>
      </c>
      <c r="AK144" s="1077">
        <v>1</v>
      </c>
      <c r="AL144" s="1080" t="s">
        <v>489</v>
      </c>
      <c r="AM144" s="690" t="str">
        <f t="shared" ref="AM144" si="96">IF(Q144="","",IF(Q144&lt;O144,"！加算の要件上は問題ありませんが、令和６年度末の加算率と比較して、令和７年度の加算率が低くなっています。",""))</f>
        <v/>
      </c>
      <c r="AN144" s="385"/>
      <c r="AO144" s="1094" t="str">
        <f>IF(K144&lt;&gt;"","Q列に色付け","")</f>
        <v>Q列に色付け</v>
      </c>
      <c r="AP144" s="1058" t="str">
        <f>IF(AND(AE144&lt;&gt;0,AE144&lt;&gt;""),IF(AF144="○","入力済","未入力"),"")</f>
        <v>入力済</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対象</v>
      </c>
      <c r="AV144" s="836">
        <f>IF(AND(P144&lt;&gt;"処遇改善加算Ⅲ",P144&lt;&gt;"処遇改善加算Ⅳ", P144&lt;&gt;"", AU144&lt;&gt;"対象外"), 1,"")</f>
        <v>1</v>
      </c>
      <c r="AW144" s="836" t="str">
        <f>IFERROR("_"&amp;VLOOKUP(K144, 【参考】数式用２!$AG$2:$AH$48, 2, FALSE), "")</f>
        <v>_52</v>
      </c>
      <c r="AX144" s="1097" t="str">
        <f>IF(AND(P144="処遇改善加算Ⅰ", AL144=""), "未入力","入力済")</f>
        <v>入力済</v>
      </c>
      <c r="AY144" s="1094" t="str">
        <f>G144</f>
        <v>東京都</v>
      </c>
      <c r="AZ144"/>
      <c r="BA144"/>
      <c r="BB144"/>
      <c r="BC144"/>
      <c r="BD144"/>
      <c r="BE144"/>
      <c r="BF144"/>
      <c r="BG144"/>
    </row>
    <row r="145" spans="1:59" ht="1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IF(基本情報入力シート!B75="", "",基本情報入力シート!B75)</f>
        <v>1111111141</v>
      </c>
      <c r="C148" s="1219"/>
      <c r="D148" s="1219"/>
      <c r="E148" s="1219"/>
      <c r="F148" s="1220"/>
      <c r="G148" s="1221" t="str">
        <f>IF(基本情報入力シート!L75="", "",基本情報入力シート!L75)</f>
        <v>東京都</v>
      </c>
      <c r="H148" s="1221" t="str">
        <f>IF(基本情報入力シート!Q75="", "",基本情報入力シート!Q75)</f>
        <v>東京都</v>
      </c>
      <c r="I148" s="1221" t="str">
        <f>IF(基本情報入力シート!V75="", "",基本情報入力シート!V75)</f>
        <v>千代田区</v>
      </c>
      <c r="J148" s="1221" t="str">
        <f>IF(基本情報入力シート!W75="", "",基本情報入力シート!W75)</f>
        <v>○○施設</v>
      </c>
      <c r="K148" s="1221" t="str">
        <f>IF(基本情報入力シート!X75="", "",基本情報入力シート!X75)</f>
        <v>短期入所療養介護（介護老人保健施設）</v>
      </c>
      <c r="L148" s="1222">
        <f>IF(基本情報入力シート!AC75=0, "",基本情報入力シート!AC75)</f>
        <v>750000</v>
      </c>
      <c r="M148" s="1215">
        <f>IF(基本情報入力シート!AD75="", "",基本情報入力シート!AD75)</f>
        <v>10.9</v>
      </c>
      <c r="N148" s="1103" t="s">
        <v>485</v>
      </c>
      <c r="O148" s="1106">
        <f>IFERROR(VLOOKUP(K148,【参考】数式用２!$A$2:$AD$48,MATCH(N148,【参考】数式用２!$C$4:$AD$4,0)+2,0),"")</f>
        <v>4.4000000000000004E-2</v>
      </c>
      <c r="P148" s="1055" t="s">
        <v>476</v>
      </c>
      <c r="Q148" s="1068">
        <f>IFERROR(VLOOKUP(K148,【参考】数式用２!$A$2:$AC$48,MATCH(P148,【参考】数式用２!$C$4:$AC$4,0)+2,0),"")</f>
        <v>7.5000000000000011E-2</v>
      </c>
      <c r="R148" s="1071" t="s">
        <v>388</v>
      </c>
      <c r="S148" s="1059">
        <v>7</v>
      </c>
      <c r="T148" s="1062" t="s">
        <v>477</v>
      </c>
      <c r="U148" s="1059">
        <v>4</v>
      </c>
      <c r="V148" s="1062" t="s">
        <v>478</v>
      </c>
      <c r="W148" s="1059">
        <v>8</v>
      </c>
      <c r="X148" s="1062" t="s">
        <v>477</v>
      </c>
      <c r="Y148" s="1059">
        <v>3</v>
      </c>
      <c r="Z148" s="1062" t="s">
        <v>479</v>
      </c>
      <c r="AA148" s="1062" t="s">
        <v>291</v>
      </c>
      <c r="AB148" s="1062">
        <f>IF(S148&gt;=1,(W148*12+Y148)-(S148*12+U148)+1,"")</f>
        <v>12</v>
      </c>
      <c r="AC148" s="1086" t="s">
        <v>480</v>
      </c>
      <c r="AD148" s="1065">
        <f>IFERROR(ROUNDDOWN(ROUND(L148*Q148,0)*M148,0)*AB148,"")</f>
        <v>7357500</v>
      </c>
      <c r="AE148" s="1089">
        <f>IFERROR(ROUNDDOWN(ROUNDDOWN(ROUND(L148*VLOOKUP(K148,【参考】数式用２!$A$2:$AC$48,MATCH("処遇改善加算Ⅳ",【参考】数式用２!$C$4:$O$4,0)+2,0),0)*M148,0)*AB148*0.5,0), "")</f>
        <v>2158200</v>
      </c>
      <c r="AF148" s="1074" t="s">
        <v>47</v>
      </c>
      <c r="AG148" s="1065" t="str">
        <f>IF(AND(AQ148&lt;&gt;"対象外", P148&lt;&gt;""),ROUNDDOWN(ROUND(L148*VLOOKUP(K148,【参考】数式用２!$A$2:$K$48,MATCH("ベア加算あり",【参考】数式用２!$C$4:$K$4,0)+2,0),0)*M148,0)*AB148,"")</f>
        <v/>
      </c>
      <c r="AH148" s="1083"/>
      <c r="AI148" s="1074" t="s">
        <v>47</v>
      </c>
      <c r="AJ148" s="1074" t="s">
        <v>481</v>
      </c>
      <c r="AK148" s="1077"/>
      <c r="AL148" s="1080" t="s">
        <v>489</v>
      </c>
      <c r="AM148" s="690" t="str">
        <f t="shared" ref="AM148" si="99">IF(Q148="","",IF(Q148&lt;O148,"！加算の要件上は問題ありませんが、令和６年度末の加算率と比較して、令和７年度の加算率が低くなっています。",""))</f>
        <v/>
      </c>
      <c r="AN148" s="385"/>
      <c r="AO148" s="1094" t="str">
        <f>IF(K148&lt;&gt;"","Q列に色付け","")</f>
        <v>Q列に色付け</v>
      </c>
      <c r="AP148" s="1058" t="str">
        <f>IF(AND(AE148&lt;&gt;0,AE148&lt;&gt;""),IF(AF148="○","入力済","未入力"),"")</f>
        <v>入力済</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対象外</v>
      </c>
      <c r="AV148" s="836" t="str">
        <f>IF(AND(P148&lt;&gt;"処遇改善加算Ⅲ",P148&lt;&gt;"処遇改善加算Ⅳ", P148&lt;&gt;"", AU148&lt;&gt;"対象外"), 1,"")</f>
        <v/>
      </c>
      <c r="AW148" s="836" t="str">
        <f>IFERROR("_"&amp;VLOOKUP(K148, 【参考】数式用２!$AG$2:$AH$48, 2, FALSE), "")</f>
        <v>_22</v>
      </c>
      <c r="AX148" s="1097" t="str">
        <f>IF(AND(P148="処遇改善加算Ⅰ", AL148=""), "未入力","入力済")</f>
        <v>入力済</v>
      </c>
      <c r="AY148" s="1094" t="str">
        <f>G148</f>
        <v>東京都</v>
      </c>
      <c r="AZ148"/>
      <c r="BA148"/>
      <c r="BB148"/>
      <c r="BC148"/>
      <c r="BD148"/>
      <c r="BE148"/>
      <c r="BF148"/>
      <c r="BG148"/>
    </row>
    <row r="149" spans="1:59" ht="1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IF(基本情報入力シート!B76="", "",基本情報入力シート!B76)</f>
        <v>1111111142</v>
      </c>
      <c r="C152" s="1219"/>
      <c r="D152" s="1219"/>
      <c r="E152" s="1219"/>
      <c r="F152" s="1220"/>
      <c r="G152" s="1221" t="str">
        <f>IF(基本情報入力シート!L76="", "",基本情報入力シート!L76)</f>
        <v>東京都</v>
      </c>
      <c r="H152" s="1221" t="str">
        <f>IF(基本情報入力シート!Q76="", "",基本情報入力シート!Q76)</f>
        <v>東京都</v>
      </c>
      <c r="I152" s="1221" t="str">
        <f>IF(基本情報入力シート!V76="", "",基本情報入力シート!V76)</f>
        <v>千代田区</v>
      </c>
      <c r="J152" s="1221" t="str">
        <f>IF(基本情報入力シート!W76="", "",基本情報入力シート!W76)</f>
        <v>○○施設</v>
      </c>
      <c r="K152" s="1221" t="str">
        <f>IF(基本情報入力シート!X76="", "",基本情報入力シート!X76)</f>
        <v>介護予防短期入所療養介護（介護老人保健施設）</v>
      </c>
      <c r="L152" s="1222">
        <f>IF(基本情報入力シート!AC76=0, "",基本情報入力シート!AC76)</f>
        <v>750000</v>
      </c>
      <c r="M152" s="1215">
        <f>IF(基本情報入力シート!AD76="", "",基本情報入力シート!AD76)</f>
        <v>10.9</v>
      </c>
      <c r="N152" s="1103" t="s">
        <v>485</v>
      </c>
      <c r="O152" s="1106">
        <f>IFERROR(VLOOKUP(K152,【参考】数式用２!$A$2:$AD$48,MATCH(N152,【参考】数式用２!$C$4:$AD$4,0)+2,0),"")</f>
        <v>4.4000000000000004E-2</v>
      </c>
      <c r="P152" s="1055" t="s">
        <v>476</v>
      </c>
      <c r="Q152" s="1068">
        <f>IFERROR(VLOOKUP(K152,【参考】数式用２!$A$2:$AC$48,MATCH(P152,【参考】数式用２!$C$4:$AC$4,0)+2,0),"")</f>
        <v>7.5000000000000011E-2</v>
      </c>
      <c r="R152" s="1071" t="s">
        <v>388</v>
      </c>
      <c r="S152" s="1059">
        <v>7</v>
      </c>
      <c r="T152" s="1062" t="s">
        <v>477</v>
      </c>
      <c r="U152" s="1059">
        <v>4</v>
      </c>
      <c r="V152" s="1062" t="s">
        <v>478</v>
      </c>
      <c r="W152" s="1059">
        <v>8</v>
      </c>
      <c r="X152" s="1062" t="s">
        <v>477</v>
      </c>
      <c r="Y152" s="1059">
        <v>3</v>
      </c>
      <c r="Z152" s="1062" t="s">
        <v>479</v>
      </c>
      <c r="AA152" s="1062" t="s">
        <v>291</v>
      </c>
      <c r="AB152" s="1062">
        <f>IF(S152&gt;=1,(W152*12+Y152)-(S152*12+U152)+1,"")</f>
        <v>12</v>
      </c>
      <c r="AC152" s="1086" t="s">
        <v>480</v>
      </c>
      <c r="AD152" s="1065">
        <f>IFERROR(ROUNDDOWN(ROUND(L152*Q152,0)*M152,0)*AB152,"")</f>
        <v>7357500</v>
      </c>
      <c r="AE152" s="1089">
        <f>IFERROR(ROUNDDOWN(ROUNDDOWN(ROUND(L152*VLOOKUP(K152,【参考】数式用２!$A$2:$AC$48,MATCH("処遇改善加算Ⅳ",【参考】数式用２!$C$4:$O$4,0)+2,0),0)*M152,0)*AB152*0.5,0), "")</f>
        <v>2158200</v>
      </c>
      <c r="AF152" s="1074" t="s">
        <v>47</v>
      </c>
      <c r="AG152" s="1065" t="str">
        <f>IF(AND(AQ152&lt;&gt;"対象外", P152&lt;&gt;""),ROUNDDOWN(ROUND(L152*VLOOKUP(K152,【参考】数式用２!$A$2:$K$48,MATCH("ベア加算あり",【参考】数式用２!$C$4:$K$4,0)+2,0),0)*M152,0)*AB152,"")</f>
        <v/>
      </c>
      <c r="AH152" s="1083"/>
      <c r="AI152" s="1074" t="s">
        <v>47</v>
      </c>
      <c r="AJ152" s="1074" t="s">
        <v>481</v>
      </c>
      <c r="AK152" s="1077"/>
      <c r="AL152" s="1080" t="s">
        <v>489</v>
      </c>
      <c r="AM152" s="690" t="str">
        <f t="shared" ref="AM152" si="102">IF(Q152="","",IF(Q152&lt;O152,"！加算の要件上は問題ありませんが、令和６年度末の加算率と比較して、令和７年度の加算率が低くなっています。",""))</f>
        <v/>
      </c>
      <c r="AN152" s="385"/>
      <c r="AO152" s="1094" t="str">
        <f>IF(K152&lt;&gt;"","Q列に色付け","")</f>
        <v>Q列に色付け</v>
      </c>
      <c r="AP152" s="1058" t="str">
        <f>IF(AND(AE152&lt;&gt;0,AE152&lt;&gt;""),IF(AF152="○","入力済","未入力"),"")</f>
        <v>入力済</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対象外</v>
      </c>
      <c r="AV152" s="836" t="str">
        <f>IF(AND(P152&lt;&gt;"処遇改善加算Ⅲ",P152&lt;&gt;"処遇改善加算Ⅳ", P152&lt;&gt;"", AU152&lt;&gt;"対象外"), 1,"")</f>
        <v/>
      </c>
      <c r="AW152" s="836" t="str">
        <f>IFERROR("_"&amp;VLOOKUP(K152, 【参考】数式用２!$AG$2:$AH$48, 2, FALSE), "")</f>
        <v>_25</v>
      </c>
      <c r="AX152" s="1097" t="str">
        <f>IF(AND(P152="処遇改善加算Ⅰ", AL152=""), "未入力","入力済")</f>
        <v>入力済</v>
      </c>
      <c r="AY152" s="1094" t="str">
        <f>G152</f>
        <v>東京都</v>
      </c>
      <c r="AZ152"/>
      <c r="BA152"/>
      <c r="BB152"/>
      <c r="BC152"/>
      <c r="BD152"/>
      <c r="BE152"/>
      <c r="BF152"/>
      <c r="BG152"/>
    </row>
    <row r="153" spans="1:59" ht="1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IF(基本情報入力シート!B77="", "",基本情報入力シート!B77)</f>
        <v>1111111143</v>
      </c>
      <c r="C156" s="1219"/>
      <c r="D156" s="1219"/>
      <c r="E156" s="1219"/>
      <c r="F156" s="1220"/>
      <c r="G156" s="1221" t="str">
        <f>IF(基本情報入力シート!L77="", "",基本情報入力シート!L77)</f>
        <v>東京都</v>
      </c>
      <c r="H156" s="1221" t="str">
        <f>IF(基本情報入力シート!Q77="", "",基本情報入力シート!Q77)</f>
        <v>東京都</v>
      </c>
      <c r="I156" s="1221" t="str">
        <f>IF(基本情報入力シート!V77="", "",基本情報入力シート!V77)</f>
        <v>千代田区</v>
      </c>
      <c r="J156" s="1221" t="str">
        <f>IF(基本情報入力シート!W77="", "",基本情報入力シート!W77)</f>
        <v>○○施設</v>
      </c>
      <c r="K156" s="1221" t="str">
        <f>IF(基本情報入力シート!X77="", "",基本情報入力シート!X77)</f>
        <v>短期入所療養介護 （病院等（老健以外）)</v>
      </c>
      <c r="L156" s="1222">
        <f>IF(基本情報入力シート!AC77=0, "",基本情報入力シート!AC77)</f>
        <v>750000</v>
      </c>
      <c r="M156" s="1215">
        <f>IF(基本情報入力シート!AD77="", "",基本情報入力シート!AD77)</f>
        <v>10.9</v>
      </c>
      <c r="N156" s="1103" t="s">
        <v>485</v>
      </c>
      <c r="O156" s="1106">
        <f>IFERROR(VLOOKUP(K156,【参考】数式用２!$A$2:$AD$48,MATCH(N156,【参考】数式用２!$C$4:$AD$4,0)+2,0),"")</f>
        <v>2.9000000000000001E-2</v>
      </c>
      <c r="P156" s="1055" t="s">
        <v>476</v>
      </c>
      <c r="Q156" s="1068">
        <f>IFERROR(VLOOKUP(K156,【参考】数式用２!$A$2:$AC$48,MATCH(P156,【参考】数式用２!$C$4:$AC$4,0)+2,0),"")</f>
        <v>5.099999999999999E-2</v>
      </c>
      <c r="R156" s="1071" t="s">
        <v>388</v>
      </c>
      <c r="S156" s="1059">
        <v>7</v>
      </c>
      <c r="T156" s="1062" t="s">
        <v>477</v>
      </c>
      <c r="U156" s="1059">
        <v>4</v>
      </c>
      <c r="V156" s="1062" t="s">
        <v>478</v>
      </c>
      <c r="W156" s="1059">
        <v>8</v>
      </c>
      <c r="X156" s="1062" t="s">
        <v>477</v>
      </c>
      <c r="Y156" s="1059">
        <v>3</v>
      </c>
      <c r="Z156" s="1062" t="s">
        <v>479</v>
      </c>
      <c r="AA156" s="1062" t="s">
        <v>291</v>
      </c>
      <c r="AB156" s="1062">
        <f>IF(S156&gt;=1,(W156*12+Y156)-(S156*12+U156)+1,"")</f>
        <v>12</v>
      </c>
      <c r="AC156" s="1086" t="s">
        <v>480</v>
      </c>
      <c r="AD156" s="1065">
        <f>IFERROR(ROUNDDOWN(ROUND(L156*Q156,0)*M156,0)*AB156,"")</f>
        <v>5003100</v>
      </c>
      <c r="AE156" s="1089">
        <f>IFERROR(ROUNDDOWN(ROUNDDOWN(ROUND(L156*VLOOKUP(K156,【参考】数式用２!$A$2:$AC$48,MATCH("処遇改善加算Ⅳ",【参考】数式用２!$C$4:$O$4,0)+2,0),0)*M156,0)*AB156*0.5,0), "")</f>
        <v>1422450</v>
      </c>
      <c r="AF156" s="1074" t="s">
        <v>47</v>
      </c>
      <c r="AG156" s="1065" t="str">
        <f>IF(AND(AQ156&lt;&gt;"対象外", P156&lt;&gt;""),ROUNDDOWN(ROUND(L156*VLOOKUP(K156,【参考】数式用２!$A$2:$K$48,MATCH("ベア加算あり",【参考】数式用２!$C$4:$K$4,0)+2,0),0)*M156,0)*AB156,"")</f>
        <v/>
      </c>
      <c r="AH156" s="1083"/>
      <c r="AI156" s="1074" t="s">
        <v>481</v>
      </c>
      <c r="AJ156" s="1074" t="s">
        <v>47</v>
      </c>
      <c r="AK156" s="1077"/>
      <c r="AL156" s="1080" t="s">
        <v>489</v>
      </c>
      <c r="AM156" s="690" t="str">
        <f t="shared" ref="AM156" si="105">IF(Q156="","",IF(Q156&lt;O156,"！加算の要件上は問題ありませんが、令和６年度末の加算率と比較して、令和７年度の加算率が低くなっています。",""))</f>
        <v/>
      </c>
      <c r="AN156" s="385"/>
      <c r="AO156" s="1094" t="str">
        <f>IF(K156&lt;&gt;"","Q列に色付け","")</f>
        <v>Q列に色付け</v>
      </c>
      <c r="AP156" s="1058" t="str">
        <f>IF(AND(AE156&lt;&gt;0,AE156&lt;&gt;""),IF(AF156="○","入力済","未入力"),"")</f>
        <v>入力済</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対象外</v>
      </c>
      <c r="AV156" s="836" t="str">
        <f>IF(AND(P156&lt;&gt;"処遇改善加算Ⅲ",P156&lt;&gt;"処遇改善加算Ⅳ", P156&lt;&gt;"", AU156&lt;&gt;"対象外"), 1,"")</f>
        <v/>
      </c>
      <c r="AW156" s="836" t="str">
        <f>IFERROR("_"&amp;VLOOKUP(K156, 【参考】数式用２!$AG$2:$AH$48, 2, FALSE), "")</f>
        <v>_23</v>
      </c>
      <c r="AX156" s="1097" t="str">
        <f>IF(AND(P156="処遇改善加算Ⅰ", AL156=""), "未入力","入力済")</f>
        <v>入力済</v>
      </c>
      <c r="AY156" s="1094" t="str">
        <f>G156</f>
        <v>東京都</v>
      </c>
      <c r="AZ156"/>
      <c r="BA156"/>
      <c r="BB156"/>
      <c r="BC156"/>
      <c r="BD156"/>
      <c r="BE156"/>
      <c r="BF156"/>
      <c r="BG156"/>
    </row>
    <row r="157" spans="1:59" ht="1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IF(基本情報入力シート!B78="", "",基本情報入力シート!B78)</f>
        <v>1111111144</v>
      </c>
      <c r="C160" s="1219"/>
      <c r="D160" s="1219"/>
      <c r="E160" s="1219"/>
      <c r="F160" s="1220"/>
      <c r="G160" s="1221" t="str">
        <f>IF(基本情報入力シート!L78="", "",基本情報入力シート!L78)</f>
        <v>東京都</v>
      </c>
      <c r="H160" s="1221" t="str">
        <f>IF(基本情報入力シート!Q78="", "",基本情報入力シート!Q78)</f>
        <v>東京都</v>
      </c>
      <c r="I160" s="1221" t="str">
        <f>IF(基本情報入力シート!V78="", "",基本情報入力シート!V78)</f>
        <v>千代田区</v>
      </c>
      <c r="J160" s="1221" t="str">
        <f>IF(基本情報入力シート!W78="", "",基本情報入力シート!W78)</f>
        <v>○○施設</v>
      </c>
      <c r="K160" s="1221" t="str">
        <f>IF(基本情報入力シート!X78="", "",基本情報入力シート!X78)</f>
        <v>介護予防短期入所療養介護 （病院等（老健以外）)</v>
      </c>
      <c r="L160" s="1222">
        <f>IF(基本情報入力シート!AC78=0, "",基本情報入力シート!AC78)</f>
        <v>750000</v>
      </c>
      <c r="M160" s="1215">
        <f>IF(基本情報入力シート!AD78="", "",基本情報入力シート!AD78)</f>
        <v>10.9</v>
      </c>
      <c r="N160" s="1103" t="s">
        <v>485</v>
      </c>
      <c r="O160" s="1106">
        <f>IFERROR(VLOOKUP(K160,【参考】数式用２!$A$2:$AD$48,MATCH(N160,【参考】数式用２!$C$4:$AD$4,0)+2,0),"")</f>
        <v>2.9000000000000001E-2</v>
      </c>
      <c r="P160" s="1055" t="s">
        <v>476</v>
      </c>
      <c r="Q160" s="1068">
        <f>IFERROR(VLOOKUP(K160,【参考】数式用２!$A$2:$AC$48,MATCH(P160,【参考】数式用２!$C$4:$AC$4,0)+2,0),"")</f>
        <v>5.099999999999999E-2</v>
      </c>
      <c r="R160" s="1071" t="s">
        <v>388</v>
      </c>
      <c r="S160" s="1059">
        <v>7</v>
      </c>
      <c r="T160" s="1062" t="s">
        <v>477</v>
      </c>
      <c r="U160" s="1059">
        <v>4</v>
      </c>
      <c r="V160" s="1062" t="s">
        <v>478</v>
      </c>
      <c r="W160" s="1059">
        <v>8</v>
      </c>
      <c r="X160" s="1062" t="s">
        <v>477</v>
      </c>
      <c r="Y160" s="1059">
        <v>3</v>
      </c>
      <c r="Z160" s="1062" t="s">
        <v>479</v>
      </c>
      <c r="AA160" s="1062" t="s">
        <v>291</v>
      </c>
      <c r="AB160" s="1062">
        <f>IF(S160&gt;=1,(W160*12+Y160)-(S160*12+U160)+1,"")</f>
        <v>12</v>
      </c>
      <c r="AC160" s="1086" t="s">
        <v>480</v>
      </c>
      <c r="AD160" s="1065">
        <f>IFERROR(ROUNDDOWN(ROUND(L160*Q160,0)*M160,0)*AB160,"")</f>
        <v>5003100</v>
      </c>
      <c r="AE160" s="1089">
        <f>IFERROR(ROUNDDOWN(ROUNDDOWN(ROUND(L160*VLOOKUP(K160,【参考】数式用２!$A$2:$AC$48,MATCH("処遇改善加算Ⅳ",【参考】数式用２!$C$4:$O$4,0)+2,0),0)*M160,0)*AB160*0.5,0), "")</f>
        <v>1422450</v>
      </c>
      <c r="AF160" s="1074" t="s">
        <v>47</v>
      </c>
      <c r="AG160" s="1065" t="str">
        <f>IF(AND(AQ160&lt;&gt;"対象外", P160&lt;&gt;""),ROUNDDOWN(ROUND(L160*VLOOKUP(K160,【参考】数式用２!$A$2:$K$48,MATCH("ベア加算あり",【参考】数式用２!$C$4:$K$4,0)+2,0),0)*M160,0)*AB160,"")</f>
        <v/>
      </c>
      <c r="AH160" s="1083"/>
      <c r="AI160" s="1074" t="s">
        <v>481</v>
      </c>
      <c r="AJ160" s="1074" t="s">
        <v>481</v>
      </c>
      <c r="AK160" s="1077"/>
      <c r="AL160" s="1080" t="s">
        <v>489</v>
      </c>
      <c r="AM160" s="690" t="str">
        <f t="shared" ref="AM160" si="108">IF(Q160="","",IF(Q160&lt;O160,"！加算の要件上は問題ありませんが、令和６年度末の加算率と比較して、令和７年度の加算率が低くなっています。",""))</f>
        <v/>
      </c>
      <c r="AN160" s="385"/>
      <c r="AO160" s="1095" t="str">
        <f>IF(K160&lt;&gt;"","Q列に色付け","")</f>
        <v>Q列に色付け</v>
      </c>
      <c r="AP160" s="1058" t="str">
        <f>IF(AND(AE160&lt;&gt;0,AE160&lt;&gt;""),IF(AF160="○","入力済","未入力"),"")</f>
        <v>入力済</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対象外</v>
      </c>
      <c r="AV160" s="836" t="str">
        <f>IF(AND(P160&lt;&gt;"処遇改善加算Ⅲ",P160&lt;&gt;"処遇改善加算Ⅳ", P160&lt;&gt;"", AU160&lt;&gt;"対象外"), 1,"")</f>
        <v/>
      </c>
      <c r="AW160" s="836" t="str">
        <f>IFERROR("_"&amp;VLOOKUP(K160, 【参考】数式用２!$AG$2:$AH$48, 2, FALSE), "")</f>
        <v>_26</v>
      </c>
      <c r="AX160" s="1097" t="str">
        <f>IF(AND(P160="処遇改善加算Ⅰ", AL160=""), "未入力","入力済")</f>
        <v>入力済</v>
      </c>
      <c r="AY160" s="1094" t="str">
        <f>G160</f>
        <v>東京都</v>
      </c>
      <c r="AZ160"/>
      <c r="BA160"/>
      <c r="BB160"/>
      <c r="BC160"/>
      <c r="BD160"/>
      <c r="BE160"/>
      <c r="BF160"/>
      <c r="BG160"/>
    </row>
    <row r="161" spans="1:59" ht="1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IF(基本情報入力シート!B79="", "",基本情報入力シート!B79)</f>
        <v>1111111145</v>
      </c>
      <c r="C164" s="1219"/>
      <c r="D164" s="1219"/>
      <c r="E164" s="1219"/>
      <c r="F164" s="1220"/>
      <c r="G164" s="1221" t="str">
        <f>IF(基本情報入力シート!L79="", "",基本情報入力シート!L79)</f>
        <v>東京都</v>
      </c>
      <c r="H164" s="1221" t="str">
        <f>IF(基本情報入力シート!Q79="", "",基本情報入力シート!Q79)</f>
        <v>東京都</v>
      </c>
      <c r="I164" s="1221" t="str">
        <f>IF(基本情報入力シート!V79="", "",基本情報入力シート!V79)</f>
        <v>千代田区</v>
      </c>
      <c r="J164" s="1221" t="str">
        <f>IF(基本情報入力シート!W79="", "",基本情報入力シート!W79)</f>
        <v>○○施設</v>
      </c>
      <c r="K164" s="1221" t="str">
        <f>IF(基本情報入力シート!X79="", "",基本情報入力シート!X79)</f>
        <v>介護医療院サービス</v>
      </c>
      <c r="L164" s="1222">
        <f>IF(基本情報入力シート!AC79=0, "",基本情報入力シート!AC79)</f>
        <v>750000</v>
      </c>
      <c r="M164" s="1215">
        <f>IF(基本情報入力シート!AD79="", "",基本情報入力シート!AD79)</f>
        <v>10.9</v>
      </c>
      <c r="N164" s="1103" t="s">
        <v>485</v>
      </c>
      <c r="O164" s="1106">
        <f>IFERROR(VLOOKUP(K164,【参考】数式用２!$A$2:$AD$48,MATCH(N164,【参考】数式用２!$C$4:$AD$4,0)+2,0),"")</f>
        <v>2.9000000000000001E-2</v>
      </c>
      <c r="P164" s="1055" t="s">
        <v>476</v>
      </c>
      <c r="Q164" s="1068">
        <f>IFERROR(VLOOKUP(K164,【参考】数式用２!$A$2:$AC$48,MATCH(P164,【参考】数式用２!$C$4:$AC$4,0)+2,0),"")</f>
        <v>5.099999999999999E-2</v>
      </c>
      <c r="R164" s="1071" t="s">
        <v>388</v>
      </c>
      <c r="S164" s="1059">
        <v>7</v>
      </c>
      <c r="T164" s="1062" t="s">
        <v>477</v>
      </c>
      <c r="U164" s="1059">
        <v>4</v>
      </c>
      <c r="V164" s="1062" t="s">
        <v>478</v>
      </c>
      <c r="W164" s="1059">
        <v>8</v>
      </c>
      <c r="X164" s="1062" t="s">
        <v>477</v>
      </c>
      <c r="Y164" s="1059">
        <v>3</v>
      </c>
      <c r="Z164" s="1062" t="s">
        <v>479</v>
      </c>
      <c r="AA164" s="1062" t="s">
        <v>291</v>
      </c>
      <c r="AB164" s="1062">
        <f>IF(S164&gt;=1,(W164*12+Y164)-(S164*12+U164)+1,"")</f>
        <v>12</v>
      </c>
      <c r="AC164" s="1086" t="s">
        <v>480</v>
      </c>
      <c r="AD164" s="1065">
        <f>IFERROR(ROUNDDOWN(ROUND(L164*Q164,0)*M164,0)*AB164,"")</f>
        <v>5003100</v>
      </c>
      <c r="AE164" s="1089">
        <f>IFERROR(ROUNDDOWN(ROUNDDOWN(ROUND(L164*VLOOKUP(K164,【参考】数式用２!$A$2:$AC$48,MATCH("処遇改善加算Ⅳ",【参考】数式用２!$C$4:$O$4,0)+2,0),0)*M164,0)*AB164*0.5,0), "")</f>
        <v>1422450</v>
      </c>
      <c r="AF164" s="1074" t="s">
        <v>47</v>
      </c>
      <c r="AG164" s="1065" t="str">
        <f>IF(AND(AQ164&lt;&gt;"対象外", P164&lt;&gt;""),ROUNDDOWN(ROUND(L164*VLOOKUP(K164,【参考】数式用２!$A$2:$K$48,MATCH("ベア加算あり",【参考】数式用２!$C$4:$K$4,0)+2,0),0)*M164,0)*AB164,"")</f>
        <v/>
      </c>
      <c r="AH164" s="1083"/>
      <c r="AI164" s="1074" t="s">
        <v>47</v>
      </c>
      <c r="AJ164" s="1074" t="s">
        <v>481</v>
      </c>
      <c r="AK164" s="1077">
        <v>1</v>
      </c>
      <c r="AL164" s="1080" t="s">
        <v>489</v>
      </c>
      <c r="AM164" s="690" t="str">
        <f t="shared" ref="AM164" si="111">IF(Q164="","",IF(Q164&lt;O164,"！加算の要件上は問題ありませんが、令和６年度末の加算率と比較して、令和７年度の加算率が低くなっています。",""))</f>
        <v/>
      </c>
      <c r="AN164" s="385"/>
      <c r="AO164" s="1095" t="str">
        <f>IF(K164&lt;&gt;"","Q列に色付け","")</f>
        <v>Q列に色付け</v>
      </c>
      <c r="AP164" s="1058" t="str">
        <f>IF(AND(AE164&lt;&gt;0,AE164&lt;&gt;""),IF(AF164="○","入力済","未入力"),"")</f>
        <v>入力済</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対象</v>
      </c>
      <c r="AV164" s="836">
        <f>IF(AND(P164&lt;&gt;"処遇改善加算Ⅲ",P164&lt;&gt;"処遇改善加算Ⅳ", P164&lt;&gt;"", AU164&lt;&gt;"対象外"), 1,"")</f>
        <v>1</v>
      </c>
      <c r="AW164" s="836" t="str">
        <f>IFERROR("_"&amp;VLOOKUP(K164, 【参考】数式用２!$AG$2:$AH$48, 2, FALSE), "")</f>
        <v>_55</v>
      </c>
      <c r="AX164" s="1097" t="str">
        <f>IF(AND(P164="処遇改善加算Ⅰ", AL164=""), "未入力","入力済")</f>
        <v>入力済</v>
      </c>
      <c r="AY164" s="1094" t="str">
        <f>G164</f>
        <v>東京都</v>
      </c>
      <c r="AZ164"/>
      <c r="BA164"/>
      <c r="BB164"/>
      <c r="BC164"/>
      <c r="BD164"/>
      <c r="BE164"/>
      <c r="BF164"/>
      <c r="BG164"/>
    </row>
    <row r="165" spans="1:59" ht="1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IF(基本情報入力シート!B80="", "",基本情報入力シート!B80)</f>
        <v>1111111146</v>
      </c>
      <c r="C168" s="1219"/>
      <c r="D168" s="1219"/>
      <c r="E168" s="1219"/>
      <c r="F168" s="1220"/>
      <c r="G168" s="1221" t="str">
        <f>IF(基本情報入力シート!L80="", "",基本情報入力シート!L80)</f>
        <v>東京都</v>
      </c>
      <c r="H168" s="1221" t="str">
        <f>IF(基本情報入力シート!Q80="", "",基本情報入力シート!Q80)</f>
        <v>東京都</v>
      </c>
      <c r="I168" s="1221" t="str">
        <f>IF(基本情報入力シート!V80="", "",基本情報入力シート!V80)</f>
        <v>千代田区</v>
      </c>
      <c r="J168" s="1221" t="str">
        <f>IF(基本情報入力シート!W80="", "",基本情報入力シート!W80)</f>
        <v>○○施設</v>
      </c>
      <c r="K168" s="1221" t="str">
        <f>IF(基本情報入力シート!X80="", "",基本情報入力シート!X80)</f>
        <v>短期入所療養介護（介護医療院）</v>
      </c>
      <c r="L168" s="1222">
        <f>IF(基本情報入力シート!AC80=0, "",基本情報入力シート!AC80)</f>
        <v>750000</v>
      </c>
      <c r="M168" s="1215">
        <f>IF(基本情報入力シート!AD80="", "",基本情報入力シート!AD80)</f>
        <v>10.9</v>
      </c>
      <c r="N168" s="1103" t="s">
        <v>485</v>
      </c>
      <c r="O168" s="1106">
        <f>IFERROR(VLOOKUP(K168,【参考】数式用２!$A$2:$AD$48,MATCH(N168,【参考】数式用２!$C$4:$AD$4,0)+2,0),"")</f>
        <v>2.9000000000000001E-2</v>
      </c>
      <c r="P168" s="1055" t="s">
        <v>476</v>
      </c>
      <c r="Q168" s="1068">
        <f>IFERROR(VLOOKUP(K168,【参考】数式用２!$A$2:$AC$48,MATCH(P168,【参考】数式用２!$C$4:$AC$4,0)+2,0),"")</f>
        <v>5.099999999999999E-2</v>
      </c>
      <c r="R168" s="1071" t="s">
        <v>388</v>
      </c>
      <c r="S168" s="1059">
        <v>7</v>
      </c>
      <c r="T168" s="1062" t="s">
        <v>477</v>
      </c>
      <c r="U168" s="1059">
        <v>4</v>
      </c>
      <c r="V168" s="1062" t="s">
        <v>478</v>
      </c>
      <c r="W168" s="1059">
        <v>8</v>
      </c>
      <c r="X168" s="1062" t="s">
        <v>477</v>
      </c>
      <c r="Y168" s="1059">
        <v>3</v>
      </c>
      <c r="Z168" s="1062" t="s">
        <v>479</v>
      </c>
      <c r="AA168" s="1062" t="s">
        <v>291</v>
      </c>
      <c r="AB168" s="1062">
        <f>IF(S168&gt;=1,(W168*12+Y168)-(S168*12+U168)+1,"")</f>
        <v>12</v>
      </c>
      <c r="AC168" s="1086" t="s">
        <v>480</v>
      </c>
      <c r="AD168" s="1065">
        <f>IFERROR(ROUNDDOWN(ROUND(L168*Q168,0)*M168,0)*AB168,"")</f>
        <v>5003100</v>
      </c>
      <c r="AE168" s="1089">
        <f>IFERROR(ROUNDDOWN(ROUNDDOWN(ROUND(L168*VLOOKUP(K168,【参考】数式用２!$A$2:$AC$48,MATCH("処遇改善加算Ⅳ",【参考】数式用２!$C$4:$O$4,0)+2,0),0)*M168,0)*AB168*0.5,0), "")</f>
        <v>1422450</v>
      </c>
      <c r="AF168" s="1074" t="s">
        <v>47</v>
      </c>
      <c r="AG168" s="1065" t="str">
        <f>IF(AND(AQ168&lt;&gt;"対象外", P168&lt;&gt;""),ROUNDDOWN(ROUND(L168*VLOOKUP(K168,【参考】数式用２!$A$2:$K$48,MATCH("ベア加算あり",【参考】数式用２!$C$4:$K$4,0)+2,0),0)*M168,0)*AB168,"")</f>
        <v/>
      </c>
      <c r="AH168" s="1083"/>
      <c r="AI168" s="1074" t="s">
        <v>47</v>
      </c>
      <c r="AJ168" s="1074" t="s">
        <v>47</v>
      </c>
      <c r="AK168" s="1077"/>
      <c r="AL168" s="1080" t="s">
        <v>489</v>
      </c>
      <c r="AM168" s="690" t="str">
        <f t="shared" ref="AM168" si="114">IF(Q168="","",IF(Q168&lt;O168,"！加算の要件上は問題ありませんが、令和６年度末の加算率と比較して、令和７年度の加算率が低くなっています。",""))</f>
        <v/>
      </c>
      <c r="AN168" s="385"/>
      <c r="AO168" s="1094" t="str">
        <f>IF(K168&lt;&gt;"","Q列に色付け","")</f>
        <v>Q列に色付け</v>
      </c>
      <c r="AP168" s="1058" t="str">
        <f>IF(AND(AE168&lt;&gt;0,AE168&lt;&gt;""),IF(AF168="○","入力済","未入力"),"")</f>
        <v>入力済</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対象外</v>
      </c>
      <c r="AV168" s="836" t="str">
        <f>IF(AND(P168&lt;&gt;"処遇改善加算Ⅲ",P168&lt;&gt;"処遇改善加算Ⅳ", P168&lt;&gt;"", AU168&lt;&gt;"対象外"), 1,"")</f>
        <v/>
      </c>
      <c r="AW168" s="836" t="str">
        <f>IFERROR("_"&amp;VLOOKUP(K168, 【参考】数式用２!$AG$2:$AH$48, 2, FALSE), "")</f>
        <v>_2A</v>
      </c>
      <c r="AX168" s="1097" t="str">
        <f>IF(AND(P168="処遇改善加算Ⅰ", AL168=""), "未入力","入力済")</f>
        <v>入力済</v>
      </c>
      <c r="AY168" s="1094" t="str">
        <f>G168</f>
        <v>東京都</v>
      </c>
      <c r="AZ168"/>
      <c r="BA168"/>
      <c r="BB168"/>
      <c r="BC168"/>
      <c r="BD168"/>
      <c r="BE168"/>
      <c r="BF168"/>
      <c r="BG168"/>
    </row>
    <row r="169" spans="1:59" ht="1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IF(基本情報入力シート!B81="", "",基本情報入力シート!B81)</f>
        <v>1111111147</v>
      </c>
      <c r="C172" s="1219"/>
      <c r="D172" s="1219"/>
      <c r="E172" s="1219"/>
      <c r="F172" s="1220"/>
      <c r="G172" s="1221" t="str">
        <f>IF(基本情報入力シート!L81="", "",基本情報入力シート!L81)</f>
        <v>東京都</v>
      </c>
      <c r="H172" s="1221" t="str">
        <f>IF(基本情報入力シート!Q81="", "",基本情報入力シート!Q81)</f>
        <v>東京都</v>
      </c>
      <c r="I172" s="1221" t="str">
        <f>IF(基本情報入力シート!V81="", "",基本情報入力シート!V81)</f>
        <v>千代田区</v>
      </c>
      <c r="J172" s="1221" t="str">
        <f>IF(基本情報入力シート!W81="", "",基本情報入力シート!W81)</f>
        <v>○○施設</v>
      </c>
      <c r="K172" s="1221" t="str">
        <f>IF(基本情報入力シート!X81="", "",基本情報入力シート!X81)</f>
        <v>介護予防短期入所療養介護（介護医療院）</v>
      </c>
      <c r="L172" s="1222">
        <f>IF(基本情報入力シート!AC81=0, "",基本情報入力シート!AC81)</f>
        <v>750000</v>
      </c>
      <c r="M172" s="1215">
        <f>IF(基本情報入力シート!AD81="", "",基本情報入力シート!AD81)</f>
        <v>10.9</v>
      </c>
      <c r="N172" s="1103" t="s">
        <v>485</v>
      </c>
      <c r="O172" s="1106">
        <f>IFERROR(VLOOKUP(K172,【参考】数式用２!$A$2:$AD$48,MATCH(N172,【参考】数式用２!$C$4:$AD$4,0)+2,0),"")</f>
        <v>2.9000000000000001E-2</v>
      </c>
      <c r="P172" s="1055" t="s">
        <v>476</v>
      </c>
      <c r="Q172" s="1068">
        <f>IFERROR(VLOOKUP(K172,【参考】数式用２!$A$2:$AC$48,MATCH(P172,【参考】数式用２!$C$4:$AC$4,0)+2,0),"")</f>
        <v>5.099999999999999E-2</v>
      </c>
      <c r="R172" s="1071" t="s">
        <v>388</v>
      </c>
      <c r="S172" s="1059">
        <v>7</v>
      </c>
      <c r="T172" s="1062" t="s">
        <v>477</v>
      </c>
      <c r="U172" s="1059">
        <v>4</v>
      </c>
      <c r="V172" s="1062" t="s">
        <v>478</v>
      </c>
      <c r="W172" s="1059">
        <v>8</v>
      </c>
      <c r="X172" s="1062" t="s">
        <v>477</v>
      </c>
      <c r="Y172" s="1059">
        <v>3</v>
      </c>
      <c r="Z172" s="1062" t="s">
        <v>479</v>
      </c>
      <c r="AA172" s="1062" t="s">
        <v>291</v>
      </c>
      <c r="AB172" s="1062">
        <f>IF(S172&gt;=1,(W172*12+Y172)-(S172*12+U172)+1,"")</f>
        <v>12</v>
      </c>
      <c r="AC172" s="1086" t="s">
        <v>480</v>
      </c>
      <c r="AD172" s="1065">
        <f>IFERROR(ROUNDDOWN(ROUND(L172*Q172,0)*M172,0)*AB172,"")</f>
        <v>5003100</v>
      </c>
      <c r="AE172" s="1089">
        <f>IFERROR(ROUNDDOWN(ROUNDDOWN(ROUND(L172*VLOOKUP(K172,【参考】数式用２!$A$2:$AC$48,MATCH("処遇改善加算Ⅳ",【参考】数式用２!$C$4:$O$4,0)+2,0),0)*M172,0)*AB172*0.5,0), "")</f>
        <v>1422450</v>
      </c>
      <c r="AF172" s="1074" t="s">
        <v>47</v>
      </c>
      <c r="AG172" s="1065" t="str">
        <f>IF(AND(AQ172&lt;&gt;"対象外", P172&lt;&gt;""),ROUNDDOWN(ROUND(L172*VLOOKUP(K172,【参考】数式用２!$A$2:$K$48,MATCH("ベア加算あり",【参考】数式用２!$C$4:$K$4,0)+2,0),0)*M172,0)*AB172,"")</f>
        <v/>
      </c>
      <c r="AH172" s="1083"/>
      <c r="AI172" s="1074" t="s">
        <v>481</v>
      </c>
      <c r="AJ172" s="1074" t="s">
        <v>481</v>
      </c>
      <c r="AK172" s="1077"/>
      <c r="AL172" s="1080" t="s">
        <v>489</v>
      </c>
      <c r="AM172" s="690" t="str">
        <f t="shared" ref="AM172" si="117">IF(Q172="","",IF(Q172&lt;O172,"！加算の要件上は問題ありませんが、令和６年度末の加算率と比較して、令和７年度の加算率が低くなっています。",""))</f>
        <v/>
      </c>
      <c r="AN172" s="385"/>
      <c r="AO172" s="1095" t="str">
        <f>IF(K172&lt;&gt;"","Q列に色付け","")</f>
        <v>Q列に色付け</v>
      </c>
      <c r="AP172" s="1058" t="str">
        <f>IF(AND(AE172&lt;&gt;0,AE172&lt;&gt;""),IF(AF172="○","入力済","未入力"),"")</f>
        <v>入力済</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対象外</v>
      </c>
      <c r="AV172" s="836" t="str">
        <f>IF(AND(P172&lt;&gt;"処遇改善加算Ⅲ",P172&lt;&gt;"処遇改善加算Ⅳ", P172&lt;&gt;"", AU172&lt;&gt;"対象外"), 1,"")</f>
        <v/>
      </c>
      <c r="AW172" s="836" t="str">
        <f>IFERROR("_"&amp;VLOOKUP(K172, 【参考】数式用２!$AG$2:$AH$48, 2, FALSE), "")</f>
        <v>_2B</v>
      </c>
      <c r="AX172" s="1097" t="str">
        <f>IF(AND(P172="処遇改善加算Ⅰ", AL172=""), "未入力","入力済")</f>
        <v>入力済</v>
      </c>
      <c r="AY172" s="1094" t="str">
        <f>G172</f>
        <v>東京都</v>
      </c>
      <c r="AZ172"/>
      <c r="BA172"/>
      <c r="BB172"/>
      <c r="BC172"/>
      <c r="BD172"/>
      <c r="BE172"/>
      <c r="BF172"/>
      <c r="BG172"/>
    </row>
    <row r="173" spans="1:59" ht="1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IF(基本情報入力シート!B82="", "",基本情報入力シート!B82)</f>
        <v>1111111148</v>
      </c>
      <c r="C176" s="1219"/>
      <c r="D176" s="1219"/>
      <c r="E176" s="1219"/>
      <c r="F176" s="1220"/>
      <c r="G176" s="1221" t="str">
        <f>IF(基本情報入力シート!L82="", "",基本情報入力シート!L82)</f>
        <v>千代田区</v>
      </c>
      <c r="H176" s="1221" t="str">
        <f>IF(基本情報入力シート!Q82="", "",基本情報入力シート!Q82)</f>
        <v>東京都</v>
      </c>
      <c r="I176" s="1221" t="str">
        <f>IF(基本情報入力シート!V82="", "",基本情報入力シート!V82)</f>
        <v>千代田区</v>
      </c>
      <c r="J176" s="1221" t="str">
        <f>IF(基本情報入力シート!W82="", "",基本情報入力シート!W82)</f>
        <v>○○ホームヘルプ</v>
      </c>
      <c r="K176" s="1221" t="str">
        <f>IF(基本情報入力シート!X82="", "",基本情報入力シート!X82)</f>
        <v>訪問型サービス（独自）</v>
      </c>
      <c r="L176" s="1222">
        <f>IF(基本情報入力シート!AC82=0, "",基本情報入力シート!AC82)</f>
        <v>750000</v>
      </c>
      <c r="M176" s="1215" t="str">
        <f>IF(基本情報入力シート!AD82="", "",基本情報入力シート!AD82)</f>
        <v>数式を削除して手入力</v>
      </c>
      <c r="N176" s="1103" t="s">
        <v>485</v>
      </c>
      <c r="O176" s="1106">
        <f>IFERROR(VLOOKUP(K176,【参考】数式用２!$A$2:$AD$48,MATCH(N176,【参考】数式用２!$C$4:$AD$4,0)+2,0),"")</f>
        <v>0.14499999999999999</v>
      </c>
      <c r="P176" s="1055" t="s">
        <v>476</v>
      </c>
      <c r="Q176" s="1068">
        <f>IFERROR(VLOOKUP(K176,【参考】数式用２!$A$2:$AC$48,MATCH(P176,【参考】数式用２!$C$4:$AC$4,0)+2,0),"")</f>
        <v>0.245</v>
      </c>
      <c r="R176" s="1071" t="s">
        <v>388</v>
      </c>
      <c r="S176" s="1059">
        <v>7</v>
      </c>
      <c r="T176" s="1062" t="s">
        <v>477</v>
      </c>
      <c r="U176" s="1059">
        <v>4</v>
      </c>
      <c r="V176" s="1062" t="s">
        <v>478</v>
      </c>
      <c r="W176" s="1059">
        <v>8</v>
      </c>
      <c r="X176" s="1062" t="s">
        <v>477</v>
      </c>
      <c r="Y176" s="1059">
        <v>3</v>
      </c>
      <c r="Z176" s="1062" t="s">
        <v>479</v>
      </c>
      <c r="AA176" s="1062" t="s">
        <v>291</v>
      </c>
      <c r="AB176" s="1062">
        <f>IF(S176&gt;=1,(W176*12+Y176)-(S176*12+U176)+1,"")</f>
        <v>12</v>
      </c>
      <c r="AC176" s="1086" t="s">
        <v>480</v>
      </c>
      <c r="AD176" s="1065" t="str">
        <f>IFERROR(ROUNDDOWN(ROUND(L176*Q176,0)*M176,0)*AB176,"")</f>
        <v/>
      </c>
      <c r="AE176" s="1089" t="str">
        <f>IFERROR(ROUNDDOWN(ROUNDDOWN(ROUND(L176*VLOOKUP(K176,【参考】数式用２!$A$2:$AC$48,MATCH("処遇改善加算Ⅳ",【参考】数式用２!$C$4:$O$4,0)+2,0),0)*M176,0)*AB176*0.5,0), "")</f>
        <v/>
      </c>
      <c r="AF176" s="1074" t="s">
        <v>47</v>
      </c>
      <c r="AG176" s="1065" t="str">
        <f>IF(AND(AQ176&lt;&gt;"対象外", P176&lt;&gt;""),ROUNDDOWN(ROUND(L176*VLOOKUP(K176,【参考】数式用２!$A$2:$K$48,MATCH("ベア加算あり",【参考】数式用２!$C$4:$K$4,0)+2,0),0)*M176,0)*AB176,"")</f>
        <v/>
      </c>
      <c r="AH176" s="1083"/>
      <c r="AI176" s="1074" t="s">
        <v>481</v>
      </c>
      <c r="AJ176" s="1074" t="s">
        <v>481</v>
      </c>
      <c r="AK176" s="1077"/>
      <c r="AL176" s="1080" t="s">
        <v>503</v>
      </c>
      <c r="AM176" s="690" t="str">
        <f t="shared" ref="AM176" si="120">IF(Q176="","",IF(Q176&lt;O176,"！加算の要件上は問題ありませんが、令和６年度末の加算率と比較して、令和７年度の加算率が低くなっています。",""))</f>
        <v/>
      </c>
      <c r="AN176" s="385"/>
      <c r="AO176" s="1094" t="str">
        <f>IF(K176&lt;&gt;"","Q列に色付け","")</f>
        <v>Q列に色付け</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対象外</v>
      </c>
      <c r="AV176" s="836" t="str">
        <f>IF(AND(P176&lt;&gt;"処遇改善加算Ⅲ",P176&lt;&gt;"処遇改善加算Ⅳ", P176&lt;&gt;"", AU176&lt;&gt;"対象外"), 1,"")</f>
        <v/>
      </c>
      <c r="AW176" s="836" t="str">
        <f>IFERROR("_"&amp;VLOOKUP(K176, 【参考】数式用２!$AG$2:$AH$48, 2, FALSE), "")</f>
        <v>_A2</v>
      </c>
      <c r="AX176" s="1097" t="str">
        <f>IF(AND(P176="処遇改善加算Ⅰ", AL176=""), "未入力","入力済")</f>
        <v>入力済</v>
      </c>
      <c r="AY176" s="1094" t="str">
        <f>G176</f>
        <v>千代田区</v>
      </c>
      <c r="AZ176"/>
      <c r="BA176"/>
      <c r="BB176"/>
      <c r="BC176"/>
      <c r="BD176"/>
      <c r="BE176"/>
      <c r="BF176"/>
      <c r="BG176"/>
    </row>
    <row r="177" spans="1:59" ht="1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IF(基本情報入力シート!B83="", "",基本情報入力シート!B83)</f>
        <v>1111111149</v>
      </c>
      <c r="C180" s="1219"/>
      <c r="D180" s="1219"/>
      <c r="E180" s="1219"/>
      <c r="F180" s="1220"/>
      <c r="G180" s="1221" t="str">
        <f>IF(基本情報入力シート!L83="", "",基本情報入力シート!L83)</f>
        <v>千代田区</v>
      </c>
      <c r="H180" s="1221" t="str">
        <f>IF(基本情報入力シート!Q83="", "",基本情報入力シート!Q83)</f>
        <v>東京都</v>
      </c>
      <c r="I180" s="1221" t="str">
        <f>IF(基本情報入力シート!V83="", "",基本情報入力シート!V83)</f>
        <v>千代田区</v>
      </c>
      <c r="J180" s="1221" t="str">
        <f>IF(基本情報入力シート!W83="", "",基本情報入力シート!W83)</f>
        <v>○○ホームヘルプ</v>
      </c>
      <c r="K180" s="1221" t="str">
        <f>IF(基本情報入力シート!X83="", "",基本情報入力シート!X83)</f>
        <v>訪問型サービス（独自／定率）</v>
      </c>
      <c r="L180" s="1222">
        <f>IF(基本情報入力シート!AC83=0, "",基本情報入力シート!AC83)</f>
        <v>750000</v>
      </c>
      <c r="M180" s="1215" t="str">
        <f>IF(基本情報入力シート!AD83="", "",基本情報入力シート!AD83)</f>
        <v>数式を削除して手入力</v>
      </c>
      <c r="N180" s="1103" t="s">
        <v>485</v>
      </c>
      <c r="O180" s="1106">
        <f>IFERROR(VLOOKUP(K180,【参考】数式用２!$A$2:$AD$48,MATCH(N180,【参考】数式用２!$C$4:$AD$4,0)+2,0),"")</f>
        <v>0.14499999999999999</v>
      </c>
      <c r="P180" s="1055" t="s">
        <v>476</v>
      </c>
      <c r="Q180" s="1068">
        <f>IFERROR(VLOOKUP(K180,【参考】数式用２!$A$2:$AC$48,MATCH(P180,【参考】数式用２!$C$4:$AC$4,0)+2,0),"")</f>
        <v>0.245</v>
      </c>
      <c r="R180" s="1071" t="s">
        <v>388</v>
      </c>
      <c r="S180" s="1059">
        <v>7</v>
      </c>
      <c r="T180" s="1062" t="s">
        <v>477</v>
      </c>
      <c r="U180" s="1059">
        <v>4</v>
      </c>
      <c r="V180" s="1062" t="s">
        <v>478</v>
      </c>
      <c r="W180" s="1059">
        <v>8</v>
      </c>
      <c r="X180" s="1062" t="s">
        <v>477</v>
      </c>
      <c r="Y180" s="1059">
        <v>3</v>
      </c>
      <c r="Z180" s="1062" t="s">
        <v>479</v>
      </c>
      <c r="AA180" s="1062" t="s">
        <v>291</v>
      </c>
      <c r="AB180" s="1062">
        <f>IF(S180&gt;=1,(W180*12+Y180)-(S180*12+U180)+1,"")</f>
        <v>12</v>
      </c>
      <c r="AC180" s="1086" t="s">
        <v>480</v>
      </c>
      <c r="AD180" s="1065" t="str">
        <f>IFERROR(ROUNDDOWN(ROUND(L180*Q180,0)*M180,0)*AB180,"")</f>
        <v/>
      </c>
      <c r="AE180" s="1089" t="str">
        <f>IFERROR(ROUNDDOWN(ROUNDDOWN(ROUND(L180*VLOOKUP(K180,【参考】数式用２!$A$2:$AC$48,MATCH("処遇改善加算Ⅳ",【参考】数式用２!$C$4:$O$4,0)+2,0),0)*M180,0)*AB180*0.5,0), "")</f>
        <v/>
      </c>
      <c r="AF180" s="1074" t="s">
        <v>47</v>
      </c>
      <c r="AG180" s="1065" t="str">
        <f>IF(AND(AQ180&lt;&gt;"対象外", P180&lt;&gt;""),ROUNDDOWN(ROUND(L180*VLOOKUP(K180,【参考】数式用２!$A$2:$K$48,MATCH("ベア加算あり",【参考】数式用２!$C$4:$K$4,0)+2,0),0)*M180,0)*AB180,"")</f>
        <v/>
      </c>
      <c r="AH180" s="1083"/>
      <c r="AI180" s="1074" t="s">
        <v>47</v>
      </c>
      <c r="AJ180" s="1074" t="s">
        <v>47</v>
      </c>
      <c r="AK180" s="1077"/>
      <c r="AL180" s="1080" t="s">
        <v>503</v>
      </c>
      <c r="AM180" s="690" t="str">
        <f t="shared" ref="AM180" si="123">IF(Q180="","",IF(Q180&lt;O180,"！加算の要件上は問題ありませんが、令和６年度末の加算率と比較して、令和７年度の加算率が低くなっています。",""))</f>
        <v/>
      </c>
      <c r="AN180" s="385"/>
      <c r="AO180" s="1094" t="str">
        <f>IF(K180&lt;&gt;"","Q列に色付け","")</f>
        <v>Q列に色付け</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対象外</v>
      </c>
      <c r="AV180" s="836" t="str">
        <f>IF(AND(P180&lt;&gt;"処遇改善加算Ⅲ",P180&lt;&gt;"処遇改善加算Ⅳ", P180&lt;&gt;"", AU180&lt;&gt;"対象外"), 1,"")</f>
        <v/>
      </c>
      <c r="AW180" s="836" t="str">
        <f>IFERROR("_"&amp;VLOOKUP(K180, 【参考】数式用２!$AG$2:$AH$48, 2, FALSE), "")</f>
        <v>_A3</v>
      </c>
      <c r="AX180" s="1097" t="str">
        <f>IF(AND(P180="処遇改善加算Ⅰ", AL180=""), "未入力","入力済")</f>
        <v>入力済</v>
      </c>
      <c r="AY180" s="1094" t="str">
        <f>G180</f>
        <v>千代田区</v>
      </c>
      <c r="AZ180"/>
      <c r="BA180"/>
      <c r="BB180"/>
      <c r="BC180"/>
      <c r="BD180"/>
      <c r="BE180"/>
      <c r="BF180"/>
      <c r="BG180"/>
    </row>
    <row r="181" spans="1:59" ht="1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IF(基本情報入力シート!B84="", "",基本情報入力シート!B84)</f>
        <v>1111111150</v>
      </c>
      <c r="C184" s="1219"/>
      <c r="D184" s="1219"/>
      <c r="E184" s="1219"/>
      <c r="F184" s="1220"/>
      <c r="G184" s="1221" t="str">
        <f>IF(基本情報入力シート!L84="", "",基本情報入力シート!L84)</f>
        <v>千代田区</v>
      </c>
      <c r="H184" s="1221" t="str">
        <f>IF(基本情報入力シート!Q84="", "",基本情報入力シート!Q84)</f>
        <v>東京都</v>
      </c>
      <c r="I184" s="1221" t="str">
        <f>IF(基本情報入力シート!V84="", "",基本情報入力シート!V84)</f>
        <v>千代田区</v>
      </c>
      <c r="J184" s="1221" t="str">
        <f>IF(基本情報入力シート!W84="", "",基本情報入力シート!W84)</f>
        <v>○○ホームヘルプ</v>
      </c>
      <c r="K184" s="1221" t="str">
        <f>IF(基本情報入力シート!X84="", "",基本情報入力シート!X84)</f>
        <v>訪問型サービス（独自／定額）</v>
      </c>
      <c r="L184" s="1222">
        <f>IF(基本情報入力シート!AC84=0, "",基本情報入力シート!AC84)</f>
        <v>750000</v>
      </c>
      <c r="M184" s="1215" t="str">
        <f>IF(基本情報入力シート!AD84="", "",基本情報入力シート!AD84)</f>
        <v>数式を削除して手入力</v>
      </c>
      <c r="N184" s="1103" t="s">
        <v>485</v>
      </c>
      <c r="O184" s="1106">
        <f>IFERROR(VLOOKUP(K184,【参考】数式用２!$A$2:$AD$48,MATCH(N184,【参考】数式用２!$C$4:$AD$4,0)+2,0),"")</f>
        <v>0.14499999999999999</v>
      </c>
      <c r="P184" s="1055" t="s">
        <v>476</v>
      </c>
      <c r="Q184" s="1068">
        <f>IFERROR(VLOOKUP(K184,【参考】数式用２!$A$2:$AC$48,MATCH(P184,【参考】数式用２!$C$4:$AC$4,0)+2,0),"")</f>
        <v>0.245</v>
      </c>
      <c r="R184" s="1071" t="s">
        <v>388</v>
      </c>
      <c r="S184" s="1059">
        <v>7</v>
      </c>
      <c r="T184" s="1062" t="s">
        <v>477</v>
      </c>
      <c r="U184" s="1059">
        <v>4</v>
      </c>
      <c r="V184" s="1062" t="s">
        <v>478</v>
      </c>
      <c r="W184" s="1059">
        <v>8</v>
      </c>
      <c r="X184" s="1062" t="s">
        <v>477</v>
      </c>
      <c r="Y184" s="1059">
        <v>3</v>
      </c>
      <c r="Z184" s="1062" t="s">
        <v>479</v>
      </c>
      <c r="AA184" s="1062" t="s">
        <v>291</v>
      </c>
      <c r="AB184" s="1062">
        <f>IF(S184&gt;=1,(W184*12+Y184)-(S184*12+U184)+1,"")</f>
        <v>12</v>
      </c>
      <c r="AC184" s="1086" t="s">
        <v>480</v>
      </c>
      <c r="AD184" s="1065" t="str">
        <f>IFERROR(ROUNDDOWN(ROUND(L184*Q184,0)*M184,0)*AB184,"")</f>
        <v/>
      </c>
      <c r="AE184" s="1089" t="str">
        <f>IFERROR(ROUNDDOWN(ROUNDDOWN(ROUND(L184*VLOOKUP(K184,【参考】数式用２!$A$2:$AC$48,MATCH("処遇改善加算Ⅳ",【参考】数式用２!$C$4:$O$4,0)+2,0),0)*M184,0)*AB184*0.5,0), "")</f>
        <v/>
      </c>
      <c r="AF184" s="1074" t="s">
        <v>47</v>
      </c>
      <c r="AG184" s="1065" t="str">
        <f>IF(AND(AQ184&lt;&gt;"対象外", P184&lt;&gt;""),ROUNDDOWN(ROUND(L184*VLOOKUP(K184,【参考】数式用２!$A$2:$K$48,MATCH("ベア加算あり",【参考】数式用２!$C$4:$K$4,0)+2,0),0)*M184,0)*AB184,"")</f>
        <v/>
      </c>
      <c r="AH184" s="1083"/>
      <c r="AI184" s="1074" t="s">
        <v>47</v>
      </c>
      <c r="AJ184" s="1074" t="s">
        <v>481</v>
      </c>
      <c r="AK184" s="1077"/>
      <c r="AL184" s="1080" t="s">
        <v>503</v>
      </c>
      <c r="AM184" s="690" t="str">
        <f t="shared" ref="AM184" si="126">IF(Q184="","",IF(Q184&lt;O184,"！加算の要件上は問題ありませんが、令和６年度末の加算率と比較して、令和７年度の加算率が低くなっています。",""))</f>
        <v/>
      </c>
      <c r="AN184" s="385"/>
      <c r="AO184" s="1095" t="str">
        <f>IF(K184&lt;&gt;"","Q列に色付け","")</f>
        <v>Q列に色付け</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対象外</v>
      </c>
      <c r="AV184" s="836" t="str">
        <f>IF(AND(P184&lt;&gt;"処遇改善加算Ⅲ",P184&lt;&gt;"処遇改善加算Ⅳ", P184&lt;&gt;"", AU184&lt;&gt;"対象外"), 1,"")</f>
        <v/>
      </c>
      <c r="AW184" s="836" t="str">
        <f>IFERROR("_"&amp;VLOOKUP(K184, 【参考】数式用２!$AG$2:$AH$48, 2, FALSE), "")</f>
        <v>_A4</v>
      </c>
      <c r="AX184" s="1097" t="str">
        <f>IF(AND(P184="処遇改善加算Ⅰ", AL184=""), "未入力","入力済")</f>
        <v>入力済</v>
      </c>
      <c r="AY184" s="1094" t="str">
        <f>G184</f>
        <v>千代田区</v>
      </c>
      <c r="AZ184"/>
      <c r="BA184"/>
      <c r="BB184"/>
      <c r="BC184"/>
      <c r="BD184"/>
      <c r="BE184"/>
      <c r="BF184"/>
      <c r="BG184"/>
    </row>
    <row r="185" spans="1:59" ht="1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IF(基本情報入力シート!B85="", "",基本情報入力シート!B85)</f>
        <v>1111111151</v>
      </c>
      <c r="C188" s="1219"/>
      <c r="D188" s="1219"/>
      <c r="E188" s="1219"/>
      <c r="F188" s="1220"/>
      <c r="G188" s="1221" t="str">
        <f>IF(基本情報入力シート!L85="", "",基本情報入力シート!L85)</f>
        <v>千代田区</v>
      </c>
      <c r="H188" s="1221" t="str">
        <f>IF(基本情報入力シート!Q85="", "",基本情報入力シート!Q85)</f>
        <v>東京都</v>
      </c>
      <c r="I188" s="1221" t="str">
        <f>IF(基本情報入力シート!V85="", "",基本情報入力シート!V85)</f>
        <v>千代田区</v>
      </c>
      <c r="J188" s="1221" t="str">
        <f>IF(基本情報入力シート!W85="", "",基本情報入力シート!W85)</f>
        <v>○○デイケア</v>
      </c>
      <c r="K188" s="1221" t="str">
        <f>IF(基本情報入力シート!X85="", "",基本情報入力シート!X85)</f>
        <v>通所型サービス（独自）</v>
      </c>
      <c r="L188" s="1222">
        <f>IF(基本情報入力シート!AC85=0, "",基本情報入力シート!AC85)</f>
        <v>750000</v>
      </c>
      <c r="M188" s="1215" t="str">
        <f>IF(基本情報入力シート!AD85="", "",基本情報入力シート!AD85)</f>
        <v>数式を削除して手入力</v>
      </c>
      <c r="N188" s="1103" t="s">
        <v>485</v>
      </c>
      <c r="O188" s="1106">
        <f>IFERROR(VLOOKUP(K188,【参考】数式用２!$A$2:$AD$48,MATCH(N188,【参考】数式用２!$C$4:$AD$4,0)+2,0),"")</f>
        <v>6.3999999999999987E-2</v>
      </c>
      <c r="P188" s="1055" t="s">
        <v>476</v>
      </c>
      <c r="Q188" s="1068">
        <f>IFERROR(VLOOKUP(K188,【参考】数式用２!$A$2:$AC$48,MATCH(P188,【参考】数式用２!$C$4:$AC$4,0)+2,0),"")</f>
        <v>9.1999999999999985E-2</v>
      </c>
      <c r="R188" s="1071" t="s">
        <v>388</v>
      </c>
      <c r="S188" s="1059">
        <v>7</v>
      </c>
      <c r="T188" s="1062" t="s">
        <v>477</v>
      </c>
      <c r="U188" s="1059">
        <v>4</v>
      </c>
      <c r="V188" s="1062" t="s">
        <v>478</v>
      </c>
      <c r="W188" s="1059">
        <v>8</v>
      </c>
      <c r="X188" s="1062" t="s">
        <v>477</v>
      </c>
      <c r="Y188" s="1059">
        <v>3</v>
      </c>
      <c r="Z188" s="1062" t="s">
        <v>479</v>
      </c>
      <c r="AA188" s="1062" t="s">
        <v>291</v>
      </c>
      <c r="AB188" s="1062">
        <f>IF(S188&gt;=1,(W188*12+Y188)-(S188*12+U188)+1,"")</f>
        <v>12</v>
      </c>
      <c r="AC188" s="1086" t="s">
        <v>480</v>
      </c>
      <c r="AD188" s="1065" t="str">
        <f>IFERROR(ROUNDDOWN(ROUND(L188*Q188,0)*M188,0)*AB188,"")</f>
        <v/>
      </c>
      <c r="AE188" s="1089" t="str">
        <f>IFERROR(ROUNDDOWN(ROUNDDOWN(ROUND(L188*VLOOKUP(K188,【参考】数式用２!$A$2:$AC$48,MATCH("処遇改善加算Ⅳ",【参考】数式用２!$C$4:$O$4,0)+2,0),0)*M188,0)*AB188*0.5,0), "")</f>
        <v/>
      </c>
      <c r="AF188" s="1074" t="s">
        <v>47</v>
      </c>
      <c r="AG188" s="1065" t="str">
        <f>IF(AND(AQ188&lt;&gt;"対象外", P188&lt;&gt;""),ROUNDDOWN(ROUND(L188*VLOOKUP(K188,【参考】数式用２!$A$2:$K$48,MATCH("ベア加算あり",【参考】数式用２!$C$4:$K$4,0)+2,0),0)*M188,0)*AB188,"")</f>
        <v/>
      </c>
      <c r="AH188" s="1083"/>
      <c r="AI188" s="1074" t="s">
        <v>481</v>
      </c>
      <c r="AJ188" s="1074" t="s">
        <v>481</v>
      </c>
      <c r="AK188" s="1077"/>
      <c r="AL188" s="1080" t="s">
        <v>504</v>
      </c>
      <c r="AM188" s="690" t="str">
        <f t="shared" ref="AM188" si="129">IF(Q188="","",IF(Q188&lt;O188,"！加算の要件上は問題ありませんが、令和６年度末の加算率と比較して、令和７年度の加算率が低くなっています。",""))</f>
        <v/>
      </c>
      <c r="AN188" s="385"/>
      <c r="AO188" s="1094" t="str">
        <f>IF(K188&lt;&gt;"","Q列に色付け","")</f>
        <v>Q列に色付け</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対象外</v>
      </c>
      <c r="AV188" s="836" t="str">
        <f>IF(AND(P188&lt;&gt;"処遇改善加算Ⅲ",P188&lt;&gt;"処遇改善加算Ⅳ", P188&lt;&gt;"", AU188&lt;&gt;"対象外"), 1,"")</f>
        <v/>
      </c>
      <c r="AW188" s="836" t="str">
        <f>IFERROR("_"&amp;VLOOKUP(K188, 【参考】数式用２!$AG$2:$AH$48, 2, FALSE), "")</f>
        <v>_A6</v>
      </c>
      <c r="AX188" s="1097" t="str">
        <f>IF(AND(P188="処遇改善加算Ⅰ", AL188=""), "未入力","入力済")</f>
        <v>入力済</v>
      </c>
      <c r="AY188" s="1094" t="str">
        <f>G188</f>
        <v>千代田区</v>
      </c>
      <c r="AZ188"/>
      <c r="BA188"/>
      <c r="BB188"/>
      <c r="BC188"/>
      <c r="BD188"/>
      <c r="BE188"/>
      <c r="BF188"/>
      <c r="BG188"/>
    </row>
    <row r="189" spans="1:59" ht="1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IF(基本情報入力シート!B86="", "",基本情報入力シート!B86)</f>
        <v>1111111152</v>
      </c>
      <c r="C192" s="1219"/>
      <c r="D192" s="1219"/>
      <c r="E192" s="1219"/>
      <c r="F192" s="1220"/>
      <c r="G192" s="1221" t="str">
        <f>IF(基本情報入力シート!L86="", "",基本情報入力シート!L86)</f>
        <v>千代田区</v>
      </c>
      <c r="H192" s="1221" t="str">
        <f>IF(基本情報入力シート!Q86="", "",基本情報入力シート!Q86)</f>
        <v>東京都</v>
      </c>
      <c r="I192" s="1221" t="str">
        <f>IF(基本情報入力シート!V86="", "",基本情報入力シート!V86)</f>
        <v>千代田区</v>
      </c>
      <c r="J192" s="1221" t="str">
        <f>IF(基本情報入力シート!W86="", "",基本情報入力シート!W86)</f>
        <v>○○デイケア</v>
      </c>
      <c r="K192" s="1221" t="str">
        <f>IF(基本情報入力シート!X86="", "",基本情報入力シート!X86)</f>
        <v>通所型サービス（独自／定率）</v>
      </c>
      <c r="L192" s="1222">
        <f>IF(基本情報入力シート!AC86=0, "",基本情報入力シート!AC86)</f>
        <v>750000</v>
      </c>
      <c r="M192" s="1215" t="str">
        <f>IF(基本情報入力シート!AD86="", "",基本情報入力シート!AD86)</f>
        <v>数式を削除して手入力</v>
      </c>
      <c r="N192" s="1103" t="s">
        <v>485</v>
      </c>
      <c r="O192" s="1106">
        <f>IFERROR(VLOOKUP(K192,【参考】数式用２!$A$2:$AD$48,MATCH(N192,【参考】数式用２!$C$4:$AD$4,0)+2,0),"")</f>
        <v>6.3999999999999987E-2</v>
      </c>
      <c r="P192" s="1055" t="s">
        <v>476</v>
      </c>
      <c r="Q192" s="1068">
        <f>IFERROR(VLOOKUP(K192,【参考】数式用２!$A$2:$AC$48,MATCH(P192,【参考】数式用２!$C$4:$AC$4,0)+2,0),"")</f>
        <v>9.1999999999999985E-2</v>
      </c>
      <c r="R192" s="1071" t="s">
        <v>388</v>
      </c>
      <c r="S192" s="1059">
        <v>7</v>
      </c>
      <c r="T192" s="1062" t="s">
        <v>477</v>
      </c>
      <c r="U192" s="1059">
        <v>4</v>
      </c>
      <c r="V192" s="1062" t="s">
        <v>478</v>
      </c>
      <c r="W192" s="1059">
        <v>8</v>
      </c>
      <c r="X192" s="1062" t="s">
        <v>477</v>
      </c>
      <c r="Y192" s="1059">
        <v>3</v>
      </c>
      <c r="Z192" s="1062" t="s">
        <v>479</v>
      </c>
      <c r="AA192" s="1062" t="s">
        <v>291</v>
      </c>
      <c r="AB192" s="1062">
        <f>IF(S192&gt;=1,(W192*12+Y192)-(S192*12+U192)+1,"")</f>
        <v>12</v>
      </c>
      <c r="AC192" s="1086" t="s">
        <v>480</v>
      </c>
      <c r="AD192" s="1065" t="str">
        <f>IFERROR(ROUNDDOWN(ROUND(L192*Q192,0)*M192,0)*AB192,"")</f>
        <v/>
      </c>
      <c r="AE192" s="1089" t="str">
        <f>IFERROR(ROUNDDOWN(ROUNDDOWN(ROUND(L192*VLOOKUP(K192,【参考】数式用２!$A$2:$AC$48,MATCH("処遇改善加算Ⅳ",【参考】数式用２!$C$4:$O$4,0)+2,0),0)*M192,0)*AB192*0.5,0), "")</f>
        <v/>
      </c>
      <c r="AF192" s="1074" t="s">
        <v>47</v>
      </c>
      <c r="AG192" s="1065" t="str">
        <f>IF(AND(AQ192&lt;&gt;"対象外", P192&lt;&gt;""),ROUNDDOWN(ROUND(L192*VLOOKUP(K192,【参考】数式用２!$A$2:$K$48,MATCH("ベア加算あり",【参考】数式用２!$C$4:$K$4,0)+2,0),0)*M192,0)*AB192,"")</f>
        <v/>
      </c>
      <c r="AH192" s="1083"/>
      <c r="AI192" s="1074" t="s">
        <v>481</v>
      </c>
      <c r="AJ192" s="1074" t="s">
        <v>47</v>
      </c>
      <c r="AK192" s="1077"/>
      <c r="AL192" s="1080" t="s">
        <v>504</v>
      </c>
      <c r="AM192" s="690" t="str">
        <f t="shared" ref="AM192" si="132">IF(Q192="","",IF(Q192&lt;O192,"！加算の要件上は問題ありませんが、令和６年度末の加算率と比較して、令和７年度の加算率が低くなっています。",""))</f>
        <v/>
      </c>
      <c r="AN192" s="385"/>
      <c r="AO192" s="1095" t="str">
        <f>IF(K192&lt;&gt;"","Q列に色付け","")</f>
        <v>Q列に色付け</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対象外</v>
      </c>
      <c r="AV192" s="836" t="str">
        <f>IF(AND(P192&lt;&gt;"処遇改善加算Ⅲ",P192&lt;&gt;"処遇改善加算Ⅳ", P192&lt;&gt;"", AU192&lt;&gt;"対象外"), 1,"")</f>
        <v/>
      </c>
      <c r="AW192" s="836" t="str">
        <f>IFERROR("_"&amp;VLOOKUP(K192, 【参考】数式用２!$AG$2:$AH$48, 2, FALSE), "")</f>
        <v>_A7</v>
      </c>
      <c r="AX192" s="1097" t="str">
        <f>IF(AND(P192="処遇改善加算Ⅰ", AL192=""), "未入力","入力済")</f>
        <v>入力済</v>
      </c>
      <c r="AY192" s="1094" t="str">
        <f>G192</f>
        <v>千代田区</v>
      </c>
      <c r="AZ192"/>
      <c r="BA192"/>
      <c r="BB192"/>
      <c r="BC192"/>
      <c r="BD192"/>
      <c r="BE192"/>
      <c r="BF192"/>
      <c r="BG192"/>
    </row>
    <row r="193" spans="1:59" ht="1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IF(基本情報入力シート!B87="", "",基本情報入力シート!B87)</f>
        <v>1111111153</v>
      </c>
      <c r="C196" s="1219"/>
      <c r="D196" s="1219"/>
      <c r="E196" s="1219"/>
      <c r="F196" s="1220"/>
      <c r="G196" s="1221" t="str">
        <f>IF(基本情報入力シート!L87="", "",基本情報入力シート!L87)</f>
        <v>千代田区</v>
      </c>
      <c r="H196" s="1221" t="str">
        <f>IF(基本情報入力シート!Q87="", "",基本情報入力シート!Q87)</f>
        <v>東京都</v>
      </c>
      <c r="I196" s="1221" t="str">
        <f>IF(基本情報入力シート!V87="", "",基本情報入力シート!V87)</f>
        <v>千代田区</v>
      </c>
      <c r="J196" s="1221" t="str">
        <f>IF(基本情報入力シート!W87="", "",基本情報入力シート!W87)</f>
        <v>○○デイケア</v>
      </c>
      <c r="K196" s="1221" t="str">
        <f>IF(基本情報入力シート!X87="", "",基本情報入力シート!X87)</f>
        <v>通所型サービス（独自／定額）</v>
      </c>
      <c r="L196" s="1222">
        <f>IF(基本情報入力シート!AC87=0, "",基本情報入力シート!AC87)</f>
        <v>750000</v>
      </c>
      <c r="M196" s="1215" t="str">
        <f>IF(基本情報入力シート!AD87="", "",基本情報入力シート!AD87)</f>
        <v>数式を削除して手入力</v>
      </c>
      <c r="N196" s="1103" t="s">
        <v>485</v>
      </c>
      <c r="O196" s="1106">
        <f>IFERROR(VLOOKUP(K196,【参考】数式用２!$A$2:$AD$48,MATCH(N196,【参考】数式用２!$C$4:$AD$4,0)+2,0),"")</f>
        <v>6.3999999999999987E-2</v>
      </c>
      <c r="P196" s="1055" t="s">
        <v>476</v>
      </c>
      <c r="Q196" s="1068">
        <f>IFERROR(VLOOKUP(K196,【参考】数式用２!$A$2:$AC$48,MATCH(P196,【参考】数式用２!$C$4:$AC$4,0)+2,0),"")</f>
        <v>9.1999999999999985E-2</v>
      </c>
      <c r="R196" s="1071" t="s">
        <v>388</v>
      </c>
      <c r="S196" s="1059">
        <v>7</v>
      </c>
      <c r="T196" s="1062" t="s">
        <v>477</v>
      </c>
      <c r="U196" s="1059">
        <v>4</v>
      </c>
      <c r="V196" s="1062" t="s">
        <v>478</v>
      </c>
      <c r="W196" s="1059">
        <v>8</v>
      </c>
      <c r="X196" s="1062" t="s">
        <v>477</v>
      </c>
      <c r="Y196" s="1059">
        <v>3</v>
      </c>
      <c r="Z196" s="1062" t="s">
        <v>479</v>
      </c>
      <c r="AA196" s="1062" t="s">
        <v>291</v>
      </c>
      <c r="AB196" s="1062">
        <f>IF(S196&gt;=1,(W196*12+Y196)-(S196*12+U196)+1,"")</f>
        <v>12</v>
      </c>
      <c r="AC196" s="1086" t="s">
        <v>480</v>
      </c>
      <c r="AD196" s="1065" t="str">
        <f>IFERROR(ROUNDDOWN(ROUND(L196*Q196,0)*M196,0)*AB196,"")</f>
        <v/>
      </c>
      <c r="AE196" s="1089" t="str">
        <f>IFERROR(ROUNDDOWN(ROUNDDOWN(ROUND(L196*VLOOKUP(K196,【参考】数式用２!$A$2:$AC$48,MATCH("処遇改善加算Ⅳ",【参考】数式用２!$C$4:$O$4,0)+2,0),0)*M196,0)*AB196*0.5,0), "")</f>
        <v/>
      </c>
      <c r="AF196" s="1074" t="s">
        <v>47</v>
      </c>
      <c r="AG196" s="1065" t="str">
        <f>IF(AND(AQ196&lt;&gt;"対象外", P196&lt;&gt;""),ROUNDDOWN(ROUND(L196*VLOOKUP(K196,【参考】数式用２!$A$2:$K$48,MATCH("ベア加算あり",【参考】数式用２!$C$4:$K$4,0)+2,0),0)*M196,0)*AB196,"")</f>
        <v/>
      </c>
      <c r="AH196" s="1083"/>
      <c r="AI196" s="1074" t="s">
        <v>47</v>
      </c>
      <c r="AJ196" s="1074" t="s">
        <v>481</v>
      </c>
      <c r="AK196" s="1077"/>
      <c r="AL196" s="1080" t="s">
        <v>504</v>
      </c>
      <c r="AM196" s="690" t="str">
        <f t="shared" ref="AM196" si="135">IF(Q196="","",IF(Q196&lt;O196,"！加算の要件上は問題ありませんが、令和６年度末の加算率と比較して、令和７年度の加算率が低くなっています。",""))</f>
        <v/>
      </c>
      <c r="AN196" s="385"/>
      <c r="AO196" s="1094" t="str">
        <f>IF(K196&lt;&gt;"","Q列に色付け","")</f>
        <v>Q列に色付け</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対象外</v>
      </c>
      <c r="AV196" s="836" t="str">
        <f>IF(AND(P196&lt;&gt;"処遇改善加算Ⅲ",P196&lt;&gt;"処遇改善加算Ⅳ", P196&lt;&gt;"", AU196&lt;&gt;"対象外"), 1,"")</f>
        <v/>
      </c>
      <c r="AW196" s="836" t="str">
        <f>IFERROR("_"&amp;VLOOKUP(K196, 【参考】数式用２!$AG$2:$AH$48, 2, FALSE), "")</f>
        <v>_A8</v>
      </c>
      <c r="AX196" s="1097" t="str">
        <f>IF(AND(P196="処遇改善加算Ⅰ", AL196=""), "未入力","入力済")</f>
        <v>入力済</v>
      </c>
      <c r="AY196" s="1094" t="str">
        <f>G196</f>
        <v>千代田区</v>
      </c>
      <c r="AZ196"/>
      <c r="BA196"/>
      <c r="BB196"/>
      <c r="BC196"/>
      <c r="BD196"/>
      <c r="BE196"/>
      <c r="BF196"/>
      <c r="BG196"/>
    </row>
    <row r="197" spans="1:59" ht="1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IF(基本情報入力シート!B88="", "",基本情報入力シート!B88)</f>
        <v/>
      </c>
      <c r="C200" s="1219"/>
      <c r="D200" s="1219"/>
      <c r="E200" s="1219"/>
      <c r="F200" s="1220"/>
      <c r="G200" s="1221" t="str">
        <f>IF(基本情報入力シート!L88="", "",基本情報入力シート!L88)</f>
        <v/>
      </c>
      <c r="H200" s="1221" t="str">
        <f>IF(基本情報入力シート!Q88="", "",基本情報入力シート!Q88)</f>
        <v/>
      </c>
      <c r="I200" s="1221" t="str">
        <f>IF(基本情報入力シート!V88="", "",基本情報入力シート!V88)</f>
        <v/>
      </c>
      <c r="J200" s="1221" t="str">
        <f>IF(基本情報入力シート!W88="", "",基本情報入力シート!W88)</f>
        <v/>
      </c>
      <c r="K200" s="1221" t="str">
        <f>IF(基本情報入力シート!X88="", "",基本情報入力シート!X88)</f>
        <v/>
      </c>
      <c r="L200" s="1222" t="str">
        <f>IF(基本情報入力シート!AC88=0, "",基本情報入力シート!AC88)</f>
        <v/>
      </c>
      <c r="M200" s="1215" t="str">
        <f>IF(基本情報入力シート!AD88="", "",基本情報入力シート!AD88)</f>
        <v/>
      </c>
      <c r="N200" s="1103"/>
      <c r="O200" s="1106" t="str">
        <f>IFERROR(VLOOKUP(K200,【参考】数式用２!$A$2:$AD$48,MATCH(N200,【参考】数式用２!$C$4:$AD$4,0)+2,0),"")</f>
        <v/>
      </c>
      <c r="P200" s="1055"/>
      <c r="Q200" s="1068" t="str">
        <f>IFERROR(VLOOKUP(K200,【参考】数式用２!$A$2:$AC$48,MATCH(P200,【参考】数式用２!$C$4:$AC$4,0)+2,0),"")</f>
        <v/>
      </c>
      <c r="R200" s="1071" t="s">
        <v>388</v>
      </c>
      <c r="S200" s="1059"/>
      <c r="T200" s="1062" t="s">
        <v>477</v>
      </c>
      <c r="U200" s="1059"/>
      <c r="V200" s="1062" t="s">
        <v>478</v>
      </c>
      <c r="W200" s="1059"/>
      <c r="X200" s="1062" t="s">
        <v>477</v>
      </c>
      <c r="Y200" s="1059"/>
      <c r="Z200" s="1062" t="s">
        <v>479</v>
      </c>
      <c r="AA200" s="1062" t="s">
        <v>291</v>
      </c>
      <c r="AB200" s="1062" t="str">
        <f>IF(S200&gt;=1,(W200*12+Y200)-(S200*12+U200)+1,"")</f>
        <v/>
      </c>
      <c r="AC200" s="1086" t="s">
        <v>480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0"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IF(基本情報入力シート!B89="", "",基本情報入力シート!B89)</f>
        <v/>
      </c>
      <c r="C204" s="1219"/>
      <c r="D204" s="1219"/>
      <c r="E204" s="1219"/>
      <c r="F204" s="1220"/>
      <c r="G204" s="1221" t="str">
        <f>IF(基本情報入力シート!L89="", "",基本情報入力シート!L89)</f>
        <v/>
      </c>
      <c r="H204" s="1221" t="str">
        <f>IF(基本情報入力シート!Q89="", "",基本情報入力シート!Q89)</f>
        <v/>
      </c>
      <c r="I204" s="1221" t="str">
        <f>IF(基本情報入力シート!V89="", "",基本情報入力シート!V89)</f>
        <v/>
      </c>
      <c r="J204" s="1221" t="str">
        <f>IF(基本情報入力シート!W89="", "",基本情報入力シート!W89)</f>
        <v/>
      </c>
      <c r="K204" s="1221" t="str">
        <f>IF(基本情報入力シート!X89="", "",基本情報入力シート!X89)</f>
        <v/>
      </c>
      <c r="L204" s="1222" t="str">
        <f>IF(基本情報入力シート!AC89=0, "",基本情報入力シート!AC89)</f>
        <v/>
      </c>
      <c r="M204" s="1215" t="str">
        <f>IF(基本情報入力シート!AD89="", "",基本情報入力シート!AD89)</f>
        <v/>
      </c>
      <c r="N204" s="1103"/>
      <c r="O204" s="1106" t="str">
        <f>IFERROR(VLOOKUP(K204,【参考】数式用２!$A$2:$AD$48,MATCH(N204,【参考】数式用２!$C$4:$AD$4,0)+2,0),"")</f>
        <v/>
      </c>
      <c r="P204" s="1055"/>
      <c r="Q204" s="1068" t="str">
        <f>IFERROR(VLOOKUP(K204,【参考】数式用２!$A$2:$AC$48,MATCH(P204,【参考】数式用２!$C$4:$AC$4,0)+2,0),"")</f>
        <v/>
      </c>
      <c r="R204" s="1071" t="s">
        <v>388</v>
      </c>
      <c r="S204" s="1059"/>
      <c r="T204" s="1062" t="s">
        <v>477</v>
      </c>
      <c r="U204" s="1059"/>
      <c r="V204" s="1062" t="s">
        <v>478</v>
      </c>
      <c r="W204" s="1059"/>
      <c r="X204" s="1062" t="s">
        <v>477</v>
      </c>
      <c r="Y204" s="1059"/>
      <c r="Z204" s="1062" t="s">
        <v>479</v>
      </c>
      <c r="AA204" s="1062" t="s">
        <v>291</v>
      </c>
      <c r="AB204" s="1062" t="str">
        <f>IF(S204&gt;=1,(W204*12+Y204)-(S204*12+U204)+1,"")</f>
        <v/>
      </c>
      <c r="AC204" s="1086" t="s">
        <v>480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0"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IF(基本情報入力シート!B90="", "",基本情報入力シート!B90)</f>
        <v/>
      </c>
      <c r="C208" s="1219"/>
      <c r="D208" s="1219"/>
      <c r="E208" s="1219"/>
      <c r="F208" s="1220"/>
      <c r="G208" s="1221" t="str">
        <f>IF(基本情報入力シート!L90="", "",基本情報入力シート!L90)</f>
        <v/>
      </c>
      <c r="H208" s="1221" t="str">
        <f>IF(基本情報入力シート!Q90="", "",基本情報入力シート!Q90)</f>
        <v/>
      </c>
      <c r="I208" s="1221" t="str">
        <f>IF(基本情報入力シート!V90="", "",基本情報入力シート!V90)</f>
        <v/>
      </c>
      <c r="J208" s="1221" t="str">
        <f>IF(基本情報入力シート!W90="", "",基本情報入力シート!W90)</f>
        <v/>
      </c>
      <c r="K208" s="1221" t="str">
        <f>IF(基本情報入力シート!X90="", "",基本情報入力シート!X90)</f>
        <v/>
      </c>
      <c r="L208" s="1222" t="str">
        <f>IF(基本情報入力シート!AC90=0, "",基本情報入力シート!AC90)</f>
        <v/>
      </c>
      <c r="M208" s="1215" t="str">
        <f>IF(基本情報入力シート!AD90="", "",基本情報入力シート!AD90)</f>
        <v/>
      </c>
      <c r="N208" s="1103"/>
      <c r="O208" s="1106" t="str">
        <f>IFERROR(VLOOKUP(K208,【参考】数式用２!$A$2:$AD$48,MATCH(N208,【参考】数式用２!$C$4:$AD$4,0)+2,0),"")</f>
        <v/>
      </c>
      <c r="P208" s="1055"/>
      <c r="Q208" s="1068" t="str">
        <f>IFERROR(VLOOKUP(K208,【参考】数式用２!$A$2:$AC$48,MATCH(P208,【参考】数式用２!$C$4:$AC$4,0)+2,0),"")</f>
        <v/>
      </c>
      <c r="R208" s="1071" t="s">
        <v>388</v>
      </c>
      <c r="S208" s="1059"/>
      <c r="T208" s="1062" t="s">
        <v>477</v>
      </c>
      <c r="U208" s="1059"/>
      <c r="V208" s="1062" t="s">
        <v>478</v>
      </c>
      <c r="W208" s="1059"/>
      <c r="X208" s="1062" t="s">
        <v>477</v>
      </c>
      <c r="Y208" s="1059"/>
      <c r="Z208" s="1062" t="s">
        <v>479</v>
      </c>
      <c r="AA208" s="1062" t="s">
        <v>291</v>
      </c>
      <c r="AB208" s="1062" t="str">
        <f>IF(S208&gt;=1,(W208*12+Y208)-(S208*12+U208)+1,"")</f>
        <v/>
      </c>
      <c r="AC208" s="1086" t="s">
        <v>480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0"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IF(基本情報入力シート!B91="", "",基本情報入力シート!B91)</f>
        <v/>
      </c>
      <c r="C212" s="1219"/>
      <c r="D212" s="1219"/>
      <c r="E212" s="1219"/>
      <c r="F212" s="1220"/>
      <c r="G212" s="1221" t="str">
        <f>IF(基本情報入力シート!L91="", "",基本情報入力シート!L91)</f>
        <v/>
      </c>
      <c r="H212" s="1221" t="str">
        <f>IF(基本情報入力シート!Q91="", "",基本情報入力シート!Q91)</f>
        <v/>
      </c>
      <c r="I212" s="1221" t="str">
        <f>IF(基本情報入力シート!V91="", "",基本情報入力シート!V91)</f>
        <v/>
      </c>
      <c r="J212" s="1221" t="str">
        <f>IF(基本情報入力シート!W91="", "",基本情報入力シート!W91)</f>
        <v/>
      </c>
      <c r="K212" s="1221" t="str">
        <f>IF(基本情報入力シート!X91="", "",基本情報入力シート!X91)</f>
        <v/>
      </c>
      <c r="L212" s="1222" t="str">
        <f>IF(基本情報入力シート!AC91=0, "",基本情報入力シート!AC91)</f>
        <v/>
      </c>
      <c r="M212" s="1215" t="str">
        <f>IF(基本情報入力シート!AD91="", "",基本情報入力シート!AD91)</f>
        <v/>
      </c>
      <c r="N212" s="1103"/>
      <c r="O212" s="1106" t="str">
        <f>IFERROR(VLOOKUP(K212,【参考】数式用２!$A$2:$AD$48,MATCH(N212,【参考】数式用２!$C$4:$AD$4,0)+2,0),"")</f>
        <v/>
      </c>
      <c r="P212" s="1055"/>
      <c r="Q212" s="1068" t="str">
        <f>IFERROR(VLOOKUP(K212,【参考】数式用２!$A$2:$AC$48,MATCH(P212,【参考】数式用２!$C$4:$AC$4,0)+2,0),"")</f>
        <v/>
      </c>
      <c r="R212" s="1071" t="s">
        <v>388</v>
      </c>
      <c r="S212" s="1059"/>
      <c r="T212" s="1062" t="s">
        <v>477</v>
      </c>
      <c r="U212" s="1059"/>
      <c r="V212" s="1062" t="s">
        <v>478</v>
      </c>
      <c r="W212" s="1059"/>
      <c r="X212" s="1062" t="s">
        <v>477</v>
      </c>
      <c r="Y212" s="1059"/>
      <c r="Z212" s="1062" t="s">
        <v>479</v>
      </c>
      <c r="AA212" s="1062" t="s">
        <v>291</v>
      </c>
      <c r="AB212" s="1062" t="str">
        <f>IF(S212&gt;=1,(W212*12+Y212)-(S212*12+U212)+1,"")</f>
        <v/>
      </c>
      <c r="AC212" s="1086" t="s">
        <v>480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0"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IF(基本情報入力シート!B92="", "",基本情報入力シート!B92)</f>
        <v/>
      </c>
      <c r="C216" s="1219"/>
      <c r="D216" s="1219"/>
      <c r="E216" s="1219"/>
      <c r="F216" s="1220"/>
      <c r="G216" s="1221" t="str">
        <f>IF(基本情報入力シート!L92="", "",基本情報入力シート!L92)</f>
        <v/>
      </c>
      <c r="H216" s="1221" t="str">
        <f>IF(基本情報入力シート!Q92="", "",基本情報入力シート!Q92)</f>
        <v/>
      </c>
      <c r="I216" s="1221" t="str">
        <f>IF(基本情報入力シート!V92="", "",基本情報入力シート!V92)</f>
        <v/>
      </c>
      <c r="J216" s="1221" t="str">
        <f>IF(基本情報入力シート!W92="", "",基本情報入力シート!W92)</f>
        <v/>
      </c>
      <c r="K216" s="1221" t="str">
        <f>IF(基本情報入力シート!X92="", "",基本情報入力シート!X92)</f>
        <v/>
      </c>
      <c r="L216" s="1222" t="str">
        <f>IF(基本情報入力シート!AC92=0, "",基本情報入力シート!AC92)</f>
        <v/>
      </c>
      <c r="M216" s="1215" t="str">
        <f>IF(基本情報入力シート!AD92="", "",基本情報入力シート!AD92)</f>
        <v/>
      </c>
      <c r="N216" s="1103"/>
      <c r="O216" s="1106" t="str">
        <f>IFERROR(VLOOKUP(K216,【参考】数式用２!$A$2:$AD$48,MATCH(N216,【参考】数式用２!$C$4:$AD$4,0)+2,0),"")</f>
        <v/>
      </c>
      <c r="P216" s="1055"/>
      <c r="Q216" s="1068" t="str">
        <f>IFERROR(VLOOKUP(K216,【参考】数式用２!$A$2:$AC$48,MATCH(P216,【参考】数式用２!$C$4:$AC$4,0)+2,0),"")</f>
        <v/>
      </c>
      <c r="R216" s="1071" t="s">
        <v>388</v>
      </c>
      <c r="S216" s="1059"/>
      <c r="T216" s="1062" t="s">
        <v>477</v>
      </c>
      <c r="U216" s="1059"/>
      <c r="V216" s="1062" t="s">
        <v>478</v>
      </c>
      <c r="W216" s="1059"/>
      <c r="X216" s="1062" t="s">
        <v>477</v>
      </c>
      <c r="Y216" s="1059"/>
      <c r="Z216" s="1062" t="s">
        <v>479</v>
      </c>
      <c r="AA216" s="1062" t="s">
        <v>291</v>
      </c>
      <c r="AB216" s="1062" t="str">
        <f>IF(S216&gt;=1,(W216*12+Y216)-(S216*12+U216)+1,"")</f>
        <v/>
      </c>
      <c r="AC216" s="1086" t="s">
        <v>480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0"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IF(基本情報入力シート!B93="", "",基本情報入力シート!B93)</f>
        <v/>
      </c>
      <c r="C220" s="1219"/>
      <c r="D220" s="1219"/>
      <c r="E220" s="1219"/>
      <c r="F220" s="1220"/>
      <c r="G220" s="1221" t="str">
        <f>IF(基本情報入力シート!L93="", "",基本情報入力シート!L93)</f>
        <v/>
      </c>
      <c r="H220" s="1221" t="str">
        <f>IF(基本情報入力シート!Q93="", "",基本情報入力シート!Q93)</f>
        <v/>
      </c>
      <c r="I220" s="1221" t="str">
        <f>IF(基本情報入力シート!V93="", "",基本情報入力シート!V93)</f>
        <v/>
      </c>
      <c r="J220" s="1221" t="str">
        <f>IF(基本情報入力シート!W93="", "",基本情報入力シート!W93)</f>
        <v/>
      </c>
      <c r="K220" s="1221" t="str">
        <f>IF(基本情報入力シート!X93="", "",基本情報入力シート!X93)</f>
        <v/>
      </c>
      <c r="L220" s="1222" t="str">
        <f>IF(基本情報入力シート!AC93=0, "",基本情報入力シート!AC93)</f>
        <v/>
      </c>
      <c r="M220" s="1215" t="str">
        <f>IF(基本情報入力シート!AD93="", "",基本情報入力シート!AD93)</f>
        <v/>
      </c>
      <c r="N220" s="1103"/>
      <c r="O220" s="1106" t="str">
        <f>IFERROR(VLOOKUP(K220,【参考】数式用２!$A$2:$AD$48,MATCH(N220,【参考】数式用２!$C$4:$AD$4,0)+2,0),"")</f>
        <v/>
      </c>
      <c r="P220" s="1055"/>
      <c r="Q220" s="1068" t="str">
        <f>IFERROR(VLOOKUP(K220,【参考】数式用２!$A$2:$AC$48,MATCH(P220,【参考】数式用２!$C$4:$AC$4,0)+2,0),"")</f>
        <v/>
      </c>
      <c r="R220" s="1071" t="s">
        <v>388</v>
      </c>
      <c r="S220" s="1059"/>
      <c r="T220" s="1062" t="s">
        <v>477</v>
      </c>
      <c r="U220" s="1059"/>
      <c r="V220" s="1062" t="s">
        <v>478</v>
      </c>
      <c r="W220" s="1059"/>
      <c r="X220" s="1062" t="s">
        <v>477</v>
      </c>
      <c r="Y220" s="1059"/>
      <c r="Z220" s="1062" t="s">
        <v>479</v>
      </c>
      <c r="AA220" s="1062" t="s">
        <v>291</v>
      </c>
      <c r="AB220" s="1062" t="str">
        <f>IF(S220&gt;=1,(W220*12+Y220)-(S220*12+U220)+1,"")</f>
        <v/>
      </c>
      <c r="AC220" s="1086" t="s">
        <v>480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0"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IF(基本情報入力シート!B94="", "",基本情報入力シート!B94)</f>
        <v/>
      </c>
      <c r="C224" s="1219"/>
      <c r="D224" s="1219"/>
      <c r="E224" s="1219"/>
      <c r="F224" s="1220"/>
      <c r="G224" s="1221" t="str">
        <f>IF(基本情報入力シート!L94="", "",基本情報入力シート!L94)</f>
        <v/>
      </c>
      <c r="H224" s="1221" t="str">
        <f>IF(基本情報入力シート!Q94="", "",基本情報入力シート!Q94)</f>
        <v/>
      </c>
      <c r="I224" s="1221" t="str">
        <f>IF(基本情報入力シート!V94="", "",基本情報入力シート!V94)</f>
        <v/>
      </c>
      <c r="J224" s="1221" t="str">
        <f>IF(基本情報入力シート!W94="", "",基本情報入力シート!W94)</f>
        <v/>
      </c>
      <c r="K224" s="1221" t="str">
        <f>IF(基本情報入力シート!X94="", "",基本情報入力シート!X94)</f>
        <v/>
      </c>
      <c r="L224" s="1222" t="str">
        <f>IF(基本情報入力シート!AC94=0, "",基本情報入力シート!AC94)</f>
        <v/>
      </c>
      <c r="M224" s="1215" t="str">
        <f>IF(基本情報入力シート!AD94="", "",基本情報入力シート!AD94)</f>
        <v/>
      </c>
      <c r="N224" s="1103"/>
      <c r="O224" s="1106" t="str">
        <f>IFERROR(VLOOKUP(K224,【参考】数式用２!$A$2:$AD$48,MATCH(N224,【参考】数式用２!$C$4:$AD$4,0)+2,0),"")</f>
        <v/>
      </c>
      <c r="P224" s="1055"/>
      <c r="Q224" s="1068" t="str">
        <f>IFERROR(VLOOKUP(K224,【参考】数式用２!$A$2:$AC$48,MATCH(P224,【参考】数式用２!$C$4:$AC$4,0)+2,0),"")</f>
        <v/>
      </c>
      <c r="R224" s="1071" t="s">
        <v>388</v>
      </c>
      <c r="S224" s="1059"/>
      <c r="T224" s="1062" t="s">
        <v>477</v>
      </c>
      <c r="U224" s="1059"/>
      <c r="V224" s="1062" t="s">
        <v>478</v>
      </c>
      <c r="W224" s="1059"/>
      <c r="X224" s="1062" t="s">
        <v>477</v>
      </c>
      <c r="Y224" s="1059"/>
      <c r="Z224" s="1062" t="s">
        <v>479</v>
      </c>
      <c r="AA224" s="1062" t="s">
        <v>291</v>
      </c>
      <c r="AB224" s="1062" t="str">
        <f>IF(S224&gt;=1,(W224*12+Y224)-(S224*12+U224)+1,"")</f>
        <v/>
      </c>
      <c r="AC224" s="1086" t="s">
        <v>480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0"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IF(基本情報入力シート!B95="", "",基本情報入力シート!B95)</f>
        <v/>
      </c>
      <c r="C228" s="1219"/>
      <c r="D228" s="1219"/>
      <c r="E228" s="1219"/>
      <c r="F228" s="1220"/>
      <c r="G228" s="1221" t="str">
        <f>IF(基本情報入力シート!L95="", "",基本情報入力シート!L95)</f>
        <v/>
      </c>
      <c r="H228" s="1221" t="str">
        <f>IF(基本情報入力シート!Q95="", "",基本情報入力シート!Q95)</f>
        <v/>
      </c>
      <c r="I228" s="1221" t="str">
        <f>IF(基本情報入力シート!V95="", "",基本情報入力シート!V95)</f>
        <v/>
      </c>
      <c r="J228" s="1221" t="str">
        <f>IF(基本情報入力シート!W95="", "",基本情報入力シート!W95)</f>
        <v/>
      </c>
      <c r="K228" s="1221" t="str">
        <f>IF(基本情報入力シート!X95="", "",基本情報入力シート!X95)</f>
        <v/>
      </c>
      <c r="L228" s="1222" t="str">
        <f>IF(基本情報入力シート!AC95=0, "",基本情報入力シート!AC95)</f>
        <v/>
      </c>
      <c r="M228" s="1215" t="str">
        <f>IF(基本情報入力シート!AD95="", "",基本情報入力シート!AD95)</f>
        <v/>
      </c>
      <c r="N228" s="1103"/>
      <c r="O228" s="1106" t="str">
        <f>IFERROR(VLOOKUP(K228,【参考】数式用２!$A$2:$AD$48,MATCH(N228,【参考】数式用２!$C$4:$AD$4,0)+2,0),"")</f>
        <v/>
      </c>
      <c r="P228" s="1055"/>
      <c r="Q228" s="1068" t="str">
        <f>IFERROR(VLOOKUP(K228,【参考】数式用２!$A$2:$AC$48,MATCH(P228,【参考】数式用２!$C$4:$AC$4,0)+2,0),"")</f>
        <v/>
      </c>
      <c r="R228" s="1071" t="s">
        <v>388</v>
      </c>
      <c r="S228" s="1059"/>
      <c r="T228" s="1062" t="s">
        <v>477</v>
      </c>
      <c r="U228" s="1059"/>
      <c r="V228" s="1062" t="s">
        <v>478</v>
      </c>
      <c r="W228" s="1059"/>
      <c r="X228" s="1062" t="s">
        <v>477</v>
      </c>
      <c r="Y228" s="1059"/>
      <c r="Z228" s="1062" t="s">
        <v>479</v>
      </c>
      <c r="AA228" s="1062" t="s">
        <v>291</v>
      </c>
      <c r="AB228" s="1062" t="str">
        <f>IF(S228&gt;=1,(W228*12+Y228)-(S228*12+U228)+1,"")</f>
        <v/>
      </c>
      <c r="AC228" s="1086" t="s">
        <v>480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0"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IF(基本情報入力シート!B96="", "",基本情報入力シート!B96)</f>
        <v/>
      </c>
      <c r="C232" s="1219"/>
      <c r="D232" s="1219"/>
      <c r="E232" s="1219"/>
      <c r="F232" s="1220"/>
      <c r="G232" s="1221" t="str">
        <f>IF(基本情報入力シート!L96="", "",基本情報入力シート!L96)</f>
        <v/>
      </c>
      <c r="H232" s="1221" t="str">
        <f>IF(基本情報入力シート!Q96="", "",基本情報入力シート!Q96)</f>
        <v/>
      </c>
      <c r="I232" s="1221" t="str">
        <f>IF(基本情報入力シート!V96="", "",基本情報入力シート!V96)</f>
        <v/>
      </c>
      <c r="J232" s="1221" t="str">
        <f>IF(基本情報入力シート!W96="", "",基本情報入力シート!W96)</f>
        <v/>
      </c>
      <c r="K232" s="1221" t="str">
        <f>IF(基本情報入力シート!X96="", "",基本情報入力シート!X96)</f>
        <v/>
      </c>
      <c r="L232" s="1222" t="str">
        <f>IF(基本情報入力シート!AC96=0, "",基本情報入力シート!AC96)</f>
        <v/>
      </c>
      <c r="M232" s="1215" t="str">
        <f>IF(基本情報入力シート!AD96="", "",基本情報入力シート!AD96)</f>
        <v/>
      </c>
      <c r="N232" s="1103"/>
      <c r="O232" s="1106" t="str">
        <f>IFERROR(VLOOKUP(K232,【参考】数式用２!$A$2:$AD$48,MATCH(N232,【参考】数式用２!$C$4:$AD$4,0)+2,0),"")</f>
        <v/>
      </c>
      <c r="P232" s="1055"/>
      <c r="Q232" s="1068" t="str">
        <f>IFERROR(VLOOKUP(K232,【参考】数式用２!$A$2:$AC$48,MATCH(P232,【参考】数式用２!$C$4:$AC$4,0)+2,0),"")</f>
        <v/>
      </c>
      <c r="R232" s="1071" t="s">
        <v>388</v>
      </c>
      <c r="S232" s="1059"/>
      <c r="T232" s="1062" t="s">
        <v>477</v>
      </c>
      <c r="U232" s="1059"/>
      <c r="V232" s="1062" t="s">
        <v>478</v>
      </c>
      <c r="W232" s="1059"/>
      <c r="X232" s="1062" t="s">
        <v>477</v>
      </c>
      <c r="Y232" s="1059"/>
      <c r="Z232" s="1062" t="s">
        <v>479</v>
      </c>
      <c r="AA232" s="1062" t="s">
        <v>291</v>
      </c>
      <c r="AB232" s="1062" t="str">
        <f>IF(S232&gt;=1,(W232*12+Y232)-(S232*12+U232)+1,"")</f>
        <v/>
      </c>
      <c r="AC232" s="1086" t="s">
        <v>480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0"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IF(基本情報入力シート!B97="", "",基本情報入力シート!B97)</f>
        <v/>
      </c>
      <c r="C236" s="1219"/>
      <c r="D236" s="1219"/>
      <c r="E236" s="1219"/>
      <c r="F236" s="1220"/>
      <c r="G236" s="1221" t="str">
        <f>IF(基本情報入力シート!L97="", "",基本情報入力シート!L97)</f>
        <v/>
      </c>
      <c r="H236" s="1221" t="str">
        <f>IF(基本情報入力シート!Q97="", "",基本情報入力シート!Q97)</f>
        <v/>
      </c>
      <c r="I236" s="1221" t="str">
        <f>IF(基本情報入力シート!V97="", "",基本情報入力シート!V97)</f>
        <v/>
      </c>
      <c r="J236" s="1221" t="str">
        <f>IF(基本情報入力シート!W97="", "",基本情報入力シート!W97)</f>
        <v/>
      </c>
      <c r="K236" s="1221" t="str">
        <f>IF(基本情報入力シート!X97="", "",基本情報入力シート!X97)</f>
        <v/>
      </c>
      <c r="L236" s="1222" t="str">
        <f>IF(基本情報入力シート!AC97=0, "",基本情報入力シート!AC97)</f>
        <v/>
      </c>
      <c r="M236" s="1215" t="str">
        <f>IF(基本情報入力シート!AD97="", "",基本情報入力シート!AD97)</f>
        <v/>
      </c>
      <c r="N236" s="1103"/>
      <c r="O236" s="1106" t="str">
        <f>IFERROR(VLOOKUP(K236,【参考】数式用２!$A$2:$AD$48,MATCH(N236,【参考】数式用２!$C$4:$AD$4,0)+2,0),"")</f>
        <v/>
      </c>
      <c r="P236" s="1055"/>
      <c r="Q236" s="1068" t="str">
        <f>IFERROR(VLOOKUP(K236,【参考】数式用２!$A$2:$AC$48,MATCH(P236,【参考】数式用２!$C$4:$AC$4,0)+2,0),"")</f>
        <v/>
      </c>
      <c r="R236" s="1071" t="s">
        <v>388</v>
      </c>
      <c r="S236" s="1059"/>
      <c r="T236" s="1062" t="s">
        <v>477</v>
      </c>
      <c r="U236" s="1059"/>
      <c r="V236" s="1062" t="s">
        <v>478</v>
      </c>
      <c r="W236" s="1059"/>
      <c r="X236" s="1062" t="s">
        <v>477</v>
      </c>
      <c r="Y236" s="1059"/>
      <c r="Z236" s="1062" t="s">
        <v>479</v>
      </c>
      <c r="AA236" s="1062" t="s">
        <v>291</v>
      </c>
      <c r="AB236" s="1062" t="str">
        <f>IF(S236&gt;=1,(W236*12+Y236)-(S236*12+U236)+1,"")</f>
        <v/>
      </c>
      <c r="AC236" s="1086" t="s">
        <v>480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0"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IF(基本情報入力シート!B98="", "",基本情報入力シート!B98)</f>
        <v/>
      </c>
      <c r="C240" s="1219"/>
      <c r="D240" s="1219"/>
      <c r="E240" s="1219"/>
      <c r="F240" s="1220"/>
      <c r="G240" s="1221" t="str">
        <f>IF(基本情報入力シート!L98="", "",基本情報入力シート!L98)</f>
        <v/>
      </c>
      <c r="H240" s="1221" t="str">
        <f>IF(基本情報入力シート!Q98="", "",基本情報入力シート!Q98)</f>
        <v/>
      </c>
      <c r="I240" s="1221" t="str">
        <f>IF(基本情報入力シート!V98="", "",基本情報入力シート!V98)</f>
        <v/>
      </c>
      <c r="J240" s="1221" t="str">
        <f>IF(基本情報入力シート!W98="", "",基本情報入力シート!W98)</f>
        <v/>
      </c>
      <c r="K240" s="1221" t="str">
        <f>IF(基本情報入力シート!X98="", "",基本情報入力シート!X98)</f>
        <v/>
      </c>
      <c r="L240" s="1222" t="str">
        <f>IF(基本情報入力シート!AC98=0, "",基本情報入力シート!AC98)</f>
        <v/>
      </c>
      <c r="M240" s="1215" t="str">
        <f>IF(基本情報入力シート!AD98="", "",基本情報入力シート!AD98)</f>
        <v/>
      </c>
      <c r="N240" s="1103"/>
      <c r="O240" s="1106" t="str">
        <f>IFERROR(VLOOKUP(K240,【参考】数式用２!$A$2:$AD$48,MATCH(N240,【参考】数式用２!$C$4:$AD$4,0)+2,0),"")</f>
        <v/>
      </c>
      <c r="P240" s="1055"/>
      <c r="Q240" s="1068" t="str">
        <f>IFERROR(VLOOKUP(K240,【参考】数式用２!$A$2:$AC$48,MATCH(P240,【参考】数式用２!$C$4:$AC$4,0)+2,0),"")</f>
        <v/>
      </c>
      <c r="R240" s="1071" t="s">
        <v>388</v>
      </c>
      <c r="S240" s="1059"/>
      <c r="T240" s="1062" t="s">
        <v>477</v>
      </c>
      <c r="U240" s="1059"/>
      <c r="V240" s="1062" t="s">
        <v>478</v>
      </c>
      <c r="W240" s="1059"/>
      <c r="X240" s="1062" t="s">
        <v>477</v>
      </c>
      <c r="Y240" s="1059"/>
      <c r="Z240" s="1062" t="s">
        <v>479</v>
      </c>
      <c r="AA240" s="1062" t="s">
        <v>291</v>
      </c>
      <c r="AB240" s="1062" t="str">
        <f>IF(S240&gt;=1,(W240*12+Y240)-(S240*12+U240)+1,"")</f>
        <v/>
      </c>
      <c r="AC240" s="1086" t="s">
        <v>480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0"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IF(基本情報入力シート!B99="", "",基本情報入力シート!B99)</f>
        <v/>
      </c>
      <c r="C244" s="1219"/>
      <c r="D244" s="1219"/>
      <c r="E244" s="1219"/>
      <c r="F244" s="1220"/>
      <c r="G244" s="1221" t="str">
        <f>IF(基本情報入力シート!L99="", "",基本情報入力シート!L99)</f>
        <v/>
      </c>
      <c r="H244" s="1221" t="str">
        <f>IF(基本情報入力シート!Q99="", "",基本情報入力シート!Q99)</f>
        <v/>
      </c>
      <c r="I244" s="1221" t="str">
        <f>IF(基本情報入力シート!V99="", "",基本情報入力シート!V99)</f>
        <v/>
      </c>
      <c r="J244" s="1221" t="str">
        <f>IF(基本情報入力シート!W99="", "",基本情報入力シート!W99)</f>
        <v/>
      </c>
      <c r="K244" s="1221" t="str">
        <f>IF(基本情報入力シート!X99="", "",基本情報入力シート!X99)</f>
        <v/>
      </c>
      <c r="L244" s="1222" t="str">
        <f>IF(基本情報入力シート!AC99=0, "",基本情報入力シート!AC99)</f>
        <v/>
      </c>
      <c r="M244" s="1215" t="str">
        <f>IF(基本情報入力シート!AD99="", "",基本情報入力シート!AD99)</f>
        <v/>
      </c>
      <c r="N244" s="1103"/>
      <c r="O244" s="1106" t="str">
        <f>IFERROR(VLOOKUP(K244,【参考】数式用２!$A$2:$AD$48,MATCH(N244,【参考】数式用２!$C$4:$AD$4,0)+2,0),"")</f>
        <v/>
      </c>
      <c r="P244" s="1055"/>
      <c r="Q244" s="1068" t="str">
        <f>IFERROR(VLOOKUP(K244,【参考】数式用２!$A$2:$AC$48,MATCH(P244,【参考】数式用２!$C$4:$AC$4,0)+2,0),"")</f>
        <v/>
      </c>
      <c r="R244" s="1071" t="s">
        <v>388</v>
      </c>
      <c r="S244" s="1059"/>
      <c r="T244" s="1062" t="s">
        <v>477</v>
      </c>
      <c r="U244" s="1059"/>
      <c r="V244" s="1062" t="s">
        <v>478</v>
      </c>
      <c r="W244" s="1059"/>
      <c r="X244" s="1062" t="s">
        <v>477</v>
      </c>
      <c r="Y244" s="1059"/>
      <c r="Z244" s="1062" t="s">
        <v>479</v>
      </c>
      <c r="AA244" s="1062" t="s">
        <v>291</v>
      </c>
      <c r="AB244" s="1062" t="str">
        <f>IF(S244&gt;=1,(W244*12+Y244)-(S244*12+U244)+1,"")</f>
        <v/>
      </c>
      <c r="AC244" s="1086" t="s">
        <v>480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0"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IF(基本情報入力シート!B100="", "",基本情報入力シート!B100)</f>
        <v/>
      </c>
      <c r="C248" s="1219"/>
      <c r="D248" s="1219"/>
      <c r="E248" s="1219"/>
      <c r="F248" s="1220"/>
      <c r="G248" s="1221" t="str">
        <f>IF(基本情報入力シート!L100="", "",基本情報入力シート!L100)</f>
        <v/>
      </c>
      <c r="H248" s="1221" t="str">
        <f>IF(基本情報入力シート!Q100="", "",基本情報入力シート!Q100)</f>
        <v/>
      </c>
      <c r="I248" s="1221" t="str">
        <f>IF(基本情報入力シート!V100="", "",基本情報入力シート!V100)</f>
        <v/>
      </c>
      <c r="J248" s="1221" t="str">
        <f>IF(基本情報入力シート!W100="", "",基本情報入力シート!W100)</f>
        <v/>
      </c>
      <c r="K248" s="1221" t="str">
        <f>IF(基本情報入力シート!X100="", "",基本情報入力シート!X100)</f>
        <v/>
      </c>
      <c r="L248" s="1222" t="str">
        <f>IF(基本情報入力シート!AC100=0, "",基本情報入力シート!AC100)</f>
        <v/>
      </c>
      <c r="M248" s="1215" t="str">
        <f>IF(基本情報入力シート!AD100="", "",基本情報入力シート!AD100)</f>
        <v/>
      </c>
      <c r="N248" s="1103"/>
      <c r="O248" s="1106" t="str">
        <f>IFERROR(VLOOKUP(K248,【参考】数式用２!$A$2:$AD$48,MATCH(N248,【参考】数式用２!$C$4:$AD$4,0)+2,0),"")</f>
        <v/>
      </c>
      <c r="P248" s="1055"/>
      <c r="Q248" s="1068" t="str">
        <f>IFERROR(VLOOKUP(K248,【参考】数式用２!$A$2:$AC$48,MATCH(P248,【参考】数式用２!$C$4:$AC$4,0)+2,0),"")</f>
        <v/>
      </c>
      <c r="R248" s="1071" t="s">
        <v>388</v>
      </c>
      <c r="S248" s="1059"/>
      <c r="T248" s="1062" t="s">
        <v>477</v>
      </c>
      <c r="U248" s="1059"/>
      <c r="V248" s="1062" t="s">
        <v>478</v>
      </c>
      <c r="W248" s="1059"/>
      <c r="X248" s="1062" t="s">
        <v>477</v>
      </c>
      <c r="Y248" s="1059"/>
      <c r="Z248" s="1062" t="s">
        <v>479</v>
      </c>
      <c r="AA248" s="1062" t="s">
        <v>291</v>
      </c>
      <c r="AB248" s="1062" t="str">
        <f>IF(S248&gt;=1,(W248*12+Y248)-(S248*12+U248)+1,"")</f>
        <v/>
      </c>
      <c r="AC248" s="1086" t="s">
        <v>480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0"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IF(基本情報入力シート!B101="", "",基本情報入力シート!B101)</f>
        <v/>
      </c>
      <c r="C252" s="1219"/>
      <c r="D252" s="1219"/>
      <c r="E252" s="1219"/>
      <c r="F252" s="1220"/>
      <c r="G252" s="1221" t="str">
        <f>IF(基本情報入力シート!L101="", "",基本情報入力シート!L101)</f>
        <v/>
      </c>
      <c r="H252" s="1221" t="str">
        <f>IF(基本情報入力シート!Q101="", "",基本情報入力シート!Q101)</f>
        <v/>
      </c>
      <c r="I252" s="1221" t="str">
        <f>IF(基本情報入力シート!V101="", "",基本情報入力シート!V101)</f>
        <v/>
      </c>
      <c r="J252" s="1221" t="str">
        <f>IF(基本情報入力シート!W101="", "",基本情報入力シート!W101)</f>
        <v/>
      </c>
      <c r="K252" s="1221" t="str">
        <f>IF(基本情報入力シート!X101="", "",基本情報入力シート!X101)</f>
        <v/>
      </c>
      <c r="L252" s="1222" t="str">
        <f>IF(基本情報入力シート!AC101=0, "",基本情報入力シート!AC101)</f>
        <v/>
      </c>
      <c r="M252" s="1215" t="str">
        <f>IF(基本情報入力シート!AD101="", "",基本情報入力シート!AD101)</f>
        <v/>
      </c>
      <c r="N252" s="1103"/>
      <c r="O252" s="1106" t="str">
        <f>IFERROR(VLOOKUP(K252,【参考】数式用２!$A$2:$AD$48,MATCH(N252,【参考】数式用２!$C$4:$AD$4,0)+2,0),"")</f>
        <v/>
      </c>
      <c r="P252" s="1055"/>
      <c r="Q252" s="1068" t="str">
        <f>IFERROR(VLOOKUP(K252,【参考】数式用２!$A$2:$AC$48,MATCH(P252,【参考】数式用２!$C$4:$AC$4,0)+2,0),"")</f>
        <v/>
      </c>
      <c r="R252" s="1071" t="s">
        <v>388</v>
      </c>
      <c r="S252" s="1059"/>
      <c r="T252" s="1062" t="s">
        <v>477</v>
      </c>
      <c r="U252" s="1059"/>
      <c r="V252" s="1062" t="s">
        <v>478</v>
      </c>
      <c r="W252" s="1059"/>
      <c r="X252" s="1062" t="s">
        <v>477</v>
      </c>
      <c r="Y252" s="1059"/>
      <c r="Z252" s="1062" t="s">
        <v>479</v>
      </c>
      <c r="AA252" s="1062" t="s">
        <v>291</v>
      </c>
      <c r="AB252" s="1062" t="str">
        <f>IF(S252&gt;=1,(W252*12+Y252)-(S252*12+U252)+1,"")</f>
        <v/>
      </c>
      <c r="AC252" s="1086" t="s">
        <v>480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0"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IF(基本情報入力シート!B102="", "",基本情報入力シート!B102)</f>
        <v/>
      </c>
      <c r="C256" s="1219"/>
      <c r="D256" s="1219"/>
      <c r="E256" s="1219"/>
      <c r="F256" s="1220"/>
      <c r="G256" s="1221" t="str">
        <f>IF(基本情報入力シート!L102="", "",基本情報入力シート!L102)</f>
        <v/>
      </c>
      <c r="H256" s="1221" t="str">
        <f>IF(基本情報入力シート!Q102="", "",基本情報入力シート!Q102)</f>
        <v/>
      </c>
      <c r="I256" s="1221" t="str">
        <f>IF(基本情報入力シート!V102="", "",基本情報入力シート!V102)</f>
        <v/>
      </c>
      <c r="J256" s="1221" t="str">
        <f>IF(基本情報入力シート!W102="", "",基本情報入力シート!W102)</f>
        <v/>
      </c>
      <c r="K256" s="1221" t="str">
        <f>IF(基本情報入力シート!X102="", "",基本情報入力シート!X102)</f>
        <v/>
      </c>
      <c r="L256" s="1222" t="str">
        <f>IF(基本情報入力シート!AC102=0, "",基本情報入力シート!AC102)</f>
        <v/>
      </c>
      <c r="M256" s="1215" t="str">
        <f>IF(基本情報入力シート!AD102="", "",基本情報入力シート!AD102)</f>
        <v/>
      </c>
      <c r="N256" s="1103"/>
      <c r="O256" s="1106" t="str">
        <f>IFERROR(VLOOKUP(K256,【参考】数式用２!$A$2:$AD$48,MATCH(N256,【参考】数式用２!$C$4:$AD$4,0)+2,0),"")</f>
        <v/>
      </c>
      <c r="P256" s="1055"/>
      <c r="Q256" s="1068" t="str">
        <f>IFERROR(VLOOKUP(K256,【参考】数式用２!$A$2:$AC$48,MATCH(P256,【参考】数式用２!$C$4:$AC$4,0)+2,0),"")</f>
        <v/>
      </c>
      <c r="R256" s="1071" t="s">
        <v>388</v>
      </c>
      <c r="S256" s="1059"/>
      <c r="T256" s="1062" t="s">
        <v>477</v>
      </c>
      <c r="U256" s="1059"/>
      <c r="V256" s="1062" t="s">
        <v>478</v>
      </c>
      <c r="W256" s="1059"/>
      <c r="X256" s="1062" t="s">
        <v>477</v>
      </c>
      <c r="Y256" s="1059"/>
      <c r="Z256" s="1062" t="s">
        <v>479</v>
      </c>
      <c r="AA256" s="1062" t="s">
        <v>291</v>
      </c>
      <c r="AB256" s="1062" t="str">
        <f>IF(S256&gt;=1,(W256*12+Y256)-(S256*12+U256)+1,"")</f>
        <v/>
      </c>
      <c r="AC256" s="1086" t="s">
        <v>480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0"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IF(基本情報入力シート!B103="", "",基本情報入力シート!B103)</f>
        <v/>
      </c>
      <c r="C260" s="1219"/>
      <c r="D260" s="1219"/>
      <c r="E260" s="1219"/>
      <c r="F260" s="1220"/>
      <c r="G260" s="1221" t="str">
        <f>IF(基本情報入力シート!L103="", "",基本情報入力シート!L103)</f>
        <v/>
      </c>
      <c r="H260" s="1221" t="str">
        <f>IF(基本情報入力シート!Q103="", "",基本情報入力シート!Q103)</f>
        <v/>
      </c>
      <c r="I260" s="1221" t="str">
        <f>IF(基本情報入力シート!V103="", "",基本情報入力シート!V103)</f>
        <v/>
      </c>
      <c r="J260" s="1221" t="str">
        <f>IF(基本情報入力シート!W103="", "",基本情報入力シート!W103)</f>
        <v/>
      </c>
      <c r="K260" s="1221" t="str">
        <f>IF(基本情報入力シート!X103="", "",基本情報入力シート!X103)</f>
        <v/>
      </c>
      <c r="L260" s="1222" t="str">
        <f>IF(基本情報入力シート!AC103=0, "",基本情報入力シート!AC103)</f>
        <v/>
      </c>
      <c r="M260" s="1215" t="str">
        <f>IF(基本情報入力シート!AD103="", "",基本情報入力シート!AD103)</f>
        <v/>
      </c>
      <c r="N260" s="1103"/>
      <c r="O260" s="1106" t="str">
        <f>IFERROR(VLOOKUP(K260,【参考】数式用２!$A$2:$AD$48,MATCH(N260,【参考】数式用２!$C$4:$AD$4,0)+2,0),"")</f>
        <v/>
      </c>
      <c r="P260" s="1055"/>
      <c r="Q260" s="1068" t="str">
        <f>IFERROR(VLOOKUP(K260,【参考】数式用２!$A$2:$AC$48,MATCH(P260,【参考】数式用２!$C$4:$AC$4,0)+2,0),"")</f>
        <v/>
      </c>
      <c r="R260" s="1071" t="s">
        <v>388</v>
      </c>
      <c r="S260" s="1059"/>
      <c r="T260" s="1062" t="s">
        <v>477</v>
      </c>
      <c r="U260" s="1059"/>
      <c r="V260" s="1062" t="s">
        <v>478</v>
      </c>
      <c r="W260" s="1059"/>
      <c r="X260" s="1062" t="s">
        <v>477</v>
      </c>
      <c r="Y260" s="1059"/>
      <c r="Z260" s="1062" t="s">
        <v>479</v>
      </c>
      <c r="AA260" s="1062" t="s">
        <v>291</v>
      </c>
      <c r="AB260" s="1062" t="str">
        <f>IF(S260&gt;=1,(W260*12+Y260)-(S260*12+U260)+1,"")</f>
        <v/>
      </c>
      <c r="AC260" s="1086" t="s">
        <v>480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0"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IF(基本情報入力シート!B104="", "",基本情報入力シート!B104)</f>
        <v/>
      </c>
      <c r="C264" s="1219"/>
      <c r="D264" s="1219"/>
      <c r="E264" s="1219"/>
      <c r="F264" s="1220"/>
      <c r="G264" s="1221" t="str">
        <f>IF(基本情報入力シート!L104="", "",基本情報入力シート!L104)</f>
        <v/>
      </c>
      <c r="H264" s="1221" t="str">
        <f>IF(基本情報入力シート!Q104="", "",基本情報入力シート!Q104)</f>
        <v/>
      </c>
      <c r="I264" s="1221" t="str">
        <f>IF(基本情報入力シート!V104="", "",基本情報入力シート!V104)</f>
        <v/>
      </c>
      <c r="J264" s="1221" t="str">
        <f>IF(基本情報入力シート!W104="", "",基本情報入力シート!W104)</f>
        <v/>
      </c>
      <c r="K264" s="1221" t="str">
        <f>IF(基本情報入力シート!X104="", "",基本情報入力シート!X104)</f>
        <v/>
      </c>
      <c r="L264" s="1222" t="str">
        <f>IF(基本情報入力シート!AC104=0, "",基本情報入力シート!AC104)</f>
        <v/>
      </c>
      <c r="M264" s="1215" t="str">
        <f>IF(基本情報入力シート!AD104="", "",基本情報入力シート!AD104)</f>
        <v/>
      </c>
      <c r="N264" s="1103"/>
      <c r="O264" s="1106" t="str">
        <f>IFERROR(VLOOKUP(K264,【参考】数式用２!$A$2:$AD$48,MATCH(N264,【参考】数式用２!$C$4:$AD$4,0)+2,0),"")</f>
        <v/>
      </c>
      <c r="P264" s="1055"/>
      <c r="Q264" s="1068" t="str">
        <f>IFERROR(VLOOKUP(K264,【参考】数式用２!$A$2:$AC$48,MATCH(P264,【参考】数式用２!$C$4:$AC$4,0)+2,0),"")</f>
        <v/>
      </c>
      <c r="R264" s="1071" t="s">
        <v>388</v>
      </c>
      <c r="S264" s="1059"/>
      <c r="T264" s="1062" t="s">
        <v>477</v>
      </c>
      <c r="U264" s="1059"/>
      <c r="V264" s="1062" t="s">
        <v>478</v>
      </c>
      <c r="W264" s="1059"/>
      <c r="X264" s="1062" t="s">
        <v>477</v>
      </c>
      <c r="Y264" s="1059"/>
      <c r="Z264" s="1062" t="s">
        <v>479</v>
      </c>
      <c r="AA264" s="1062" t="s">
        <v>291</v>
      </c>
      <c r="AB264" s="1062" t="str">
        <f>IF(S264&gt;=1,(W264*12+Y264)-(S264*12+U264)+1,"")</f>
        <v/>
      </c>
      <c r="AC264" s="1086" t="s">
        <v>480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0"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IF(基本情報入力シート!B105="", "",基本情報入力シート!B105)</f>
        <v/>
      </c>
      <c r="C268" s="1219"/>
      <c r="D268" s="1219"/>
      <c r="E268" s="1219"/>
      <c r="F268" s="1220"/>
      <c r="G268" s="1221" t="str">
        <f>IF(基本情報入力シート!L105="", "",基本情報入力シート!L105)</f>
        <v/>
      </c>
      <c r="H268" s="1221" t="str">
        <f>IF(基本情報入力シート!Q105="", "",基本情報入力シート!Q105)</f>
        <v/>
      </c>
      <c r="I268" s="1221" t="str">
        <f>IF(基本情報入力シート!V105="", "",基本情報入力シート!V105)</f>
        <v/>
      </c>
      <c r="J268" s="1221" t="str">
        <f>IF(基本情報入力シート!W105="", "",基本情報入力シート!W105)</f>
        <v/>
      </c>
      <c r="K268" s="1221" t="str">
        <f>IF(基本情報入力シート!X105="", "",基本情報入力シート!X105)</f>
        <v/>
      </c>
      <c r="L268" s="1222" t="str">
        <f>IF(基本情報入力シート!AC105=0, "",基本情報入力シート!AC105)</f>
        <v/>
      </c>
      <c r="M268" s="1215" t="str">
        <f>IF(基本情報入力シート!AD105="", "",基本情報入力シート!AD105)</f>
        <v/>
      </c>
      <c r="N268" s="1103"/>
      <c r="O268" s="1106" t="str">
        <f>IFERROR(VLOOKUP(K268,【参考】数式用２!$A$2:$AD$48,MATCH(N268,【参考】数式用２!$C$4:$AD$4,0)+2,0),"")</f>
        <v/>
      </c>
      <c r="P268" s="1055"/>
      <c r="Q268" s="1068" t="str">
        <f>IFERROR(VLOOKUP(K268,【参考】数式用２!$A$2:$AC$48,MATCH(P268,【参考】数式用２!$C$4:$AC$4,0)+2,0),"")</f>
        <v/>
      </c>
      <c r="R268" s="1071" t="s">
        <v>388</v>
      </c>
      <c r="S268" s="1059"/>
      <c r="T268" s="1062" t="s">
        <v>477</v>
      </c>
      <c r="U268" s="1059"/>
      <c r="V268" s="1062" t="s">
        <v>478</v>
      </c>
      <c r="W268" s="1059"/>
      <c r="X268" s="1062" t="s">
        <v>477</v>
      </c>
      <c r="Y268" s="1059"/>
      <c r="Z268" s="1062" t="s">
        <v>479</v>
      </c>
      <c r="AA268" s="1062" t="s">
        <v>291</v>
      </c>
      <c r="AB268" s="1062" t="str">
        <f>IF(S268&gt;=1,(W268*12+Y268)-(S268*12+U268)+1,"")</f>
        <v/>
      </c>
      <c r="AC268" s="1086" t="s">
        <v>480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0"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IF(基本情報入力シート!B106="", "",基本情報入力シート!B106)</f>
        <v/>
      </c>
      <c r="C272" s="1219"/>
      <c r="D272" s="1219"/>
      <c r="E272" s="1219"/>
      <c r="F272" s="1220"/>
      <c r="G272" s="1221" t="str">
        <f>IF(基本情報入力シート!L106="", "",基本情報入力シート!L106)</f>
        <v/>
      </c>
      <c r="H272" s="1221" t="str">
        <f>IF(基本情報入力シート!Q106="", "",基本情報入力シート!Q106)</f>
        <v/>
      </c>
      <c r="I272" s="1221" t="str">
        <f>IF(基本情報入力シート!V106="", "",基本情報入力シート!V106)</f>
        <v/>
      </c>
      <c r="J272" s="1221" t="str">
        <f>IF(基本情報入力シート!W106="", "",基本情報入力シート!W106)</f>
        <v/>
      </c>
      <c r="K272" s="1221" t="str">
        <f>IF(基本情報入力シート!X106="", "",基本情報入力シート!X106)</f>
        <v/>
      </c>
      <c r="L272" s="1222" t="str">
        <f>IF(基本情報入力シート!AC106=0, "",基本情報入力シート!AC106)</f>
        <v/>
      </c>
      <c r="M272" s="1215" t="str">
        <f>IF(基本情報入力シート!AD106="", "",基本情報入力シート!AD106)</f>
        <v/>
      </c>
      <c r="N272" s="1103"/>
      <c r="O272" s="1106" t="str">
        <f>IFERROR(VLOOKUP(K272,【参考】数式用２!$A$2:$AD$48,MATCH(N272,【参考】数式用２!$C$4:$AD$4,0)+2,0),"")</f>
        <v/>
      </c>
      <c r="P272" s="1055"/>
      <c r="Q272" s="1068" t="str">
        <f>IFERROR(VLOOKUP(K272,【参考】数式用２!$A$2:$AC$48,MATCH(P272,【参考】数式用２!$C$4:$AC$4,0)+2,0),"")</f>
        <v/>
      </c>
      <c r="R272" s="1071" t="s">
        <v>388</v>
      </c>
      <c r="S272" s="1059"/>
      <c r="T272" s="1062" t="s">
        <v>477</v>
      </c>
      <c r="U272" s="1059"/>
      <c r="V272" s="1062" t="s">
        <v>478</v>
      </c>
      <c r="W272" s="1059"/>
      <c r="X272" s="1062" t="s">
        <v>477</v>
      </c>
      <c r="Y272" s="1059"/>
      <c r="Z272" s="1062" t="s">
        <v>479</v>
      </c>
      <c r="AA272" s="1062" t="s">
        <v>291</v>
      </c>
      <c r="AB272" s="1062" t="str">
        <f>IF(S272&gt;=1,(W272*12+Y272)-(S272*12+U272)+1,"")</f>
        <v/>
      </c>
      <c r="AC272" s="1086" t="s">
        <v>480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0"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IF(基本情報入力シート!B107="", "",基本情報入力シート!B107)</f>
        <v/>
      </c>
      <c r="C276" s="1219"/>
      <c r="D276" s="1219"/>
      <c r="E276" s="1219"/>
      <c r="F276" s="1220"/>
      <c r="G276" s="1221" t="str">
        <f>IF(基本情報入力シート!L107="", "",基本情報入力シート!L107)</f>
        <v/>
      </c>
      <c r="H276" s="1221" t="str">
        <f>IF(基本情報入力シート!Q107="", "",基本情報入力シート!Q107)</f>
        <v/>
      </c>
      <c r="I276" s="1221" t="str">
        <f>IF(基本情報入力シート!V107="", "",基本情報入力シート!V107)</f>
        <v/>
      </c>
      <c r="J276" s="1221" t="str">
        <f>IF(基本情報入力シート!W107="", "",基本情報入力シート!W107)</f>
        <v/>
      </c>
      <c r="K276" s="1221" t="str">
        <f>IF(基本情報入力シート!X107="", "",基本情報入力シート!X107)</f>
        <v/>
      </c>
      <c r="L276" s="1222" t="str">
        <f>IF(基本情報入力シート!AC107=0, "",基本情報入力シート!AC107)</f>
        <v/>
      </c>
      <c r="M276" s="1215" t="str">
        <f>IF(基本情報入力シート!AD107="", "",基本情報入力シート!AD107)</f>
        <v/>
      </c>
      <c r="N276" s="1103"/>
      <c r="O276" s="1106" t="str">
        <f>IFERROR(VLOOKUP(K276,【参考】数式用２!$A$2:$AD$48,MATCH(N276,【参考】数式用２!$C$4:$AD$4,0)+2,0),"")</f>
        <v/>
      </c>
      <c r="P276" s="1055"/>
      <c r="Q276" s="1068" t="str">
        <f>IFERROR(VLOOKUP(K276,【参考】数式用２!$A$2:$AC$48,MATCH(P276,【参考】数式用２!$C$4:$AC$4,0)+2,0),"")</f>
        <v/>
      </c>
      <c r="R276" s="1071" t="s">
        <v>388</v>
      </c>
      <c r="S276" s="1059"/>
      <c r="T276" s="1062" t="s">
        <v>477</v>
      </c>
      <c r="U276" s="1059"/>
      <c r="V276" s="1062" t="s">
        <v>478</v>
      </c>
      <c r="W276" s="1059"/>
      <c r="X276" s="1062" t="s">
        <v>477</v>
      </c>
      <c r="Y276" s="1059"/>
      <c r="Z276" s="1062" t="s">
        <v>479</v>
      </c>
      <c r="AA276" s="1062" t="s">
        <v>291</v>
      </c>
      <c r="AB276" s="1062" t="str">
        <f>IF(S276&gt;=1,(W276*12+Y276)-(S276*12+U276)+1,"")</f>
        <v/>
      </c>
      <c r="AC276" s="1086" t="s">
        <v>480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0"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IF(基本情報入力シート!B108="", "",基本情報入力シート!B108)</f>
        <v/>
      </c>
      <c r="C280" s="1219"/>
      <c r="D280" s="1219"/>
      <c r="E280" s="1219"/>
      <c r="F280" s="1220"/>
      <c r="G280" s="1221" t="str">
        <f>IF(基本情報入力シート!L108="", "",基本情報入力シート!L108)</f>
        <v/>
      </c>
      <c r="H280" s="1221" t="str">
        <f>IF(基本情報入力シート!Q108="", "",基本情報入力シート!Q108)</f>
        <v/>
      </c>
      <c r="I280" s="1221" t="str">
        <f>IF(基本情報入力シート!V108="", "",基本情報入力シート!V108)</f>
        <v/>
      </c>
      <c r="J280" s="1221" t="str">
        <f>IF(基本情報入力シート!W108="", "",基本情報入力シート!W108)</f>
        <v/>
      </c>
      <c r="K280" s="1221" t="str">
        <f>IF(基本情報入力シート!X108="", "",基本情報入力シート!X108)</f>
        <v/>
      </c>
      <c r="L280" s="1222" t="str">
        <f>IF(基本情報入力シート!AC108=0, "",基本情報入力シート!AC108)</f>
        <v/>
      </c>
      <c r="M280" s="1215" t="str">
        <f>IF(基本情報入力シート!AD108="", "",基本情報入力シート!AD108)</f>
        <v/>
      </c>
      <c r="N280" s="1103"/>
      <c r="O280" s="1106" t="str">
        <f>IFERROR(VLOOKUP(K280,【参考】数式用２!$A$2:$AD$48,MATCH(N280,【参考】数式用２!$C$4:$AD$4,0)+2,0),"")</f>
        <v/>
      </c>
      <c r="P280" s="1055"/>
      <c r="Q280" s="1068" t="str">
        <f>IFERROR(VLOOKUP(K280,【参考】数式用２!$A$2:$AC$48,MATCH(P280,【参考】数式用２!$C$4:$AC$4,0)+2,0),"")</f>
        <v/>
      </c>
      <c r="R280" s="1071" t="s">
        <v>388</v>
      </c>
      <c r="S280" s="1059"/>
      <c r="T280" s="1062" t="s">
        <v>477</v>
      </c>
      <c r="U280" s="1059"/>
      <c r="V280" s="1062" t="s">
        <v>478</v>
      </c>
      <c r="W280" s="1059"/>
      <c r="X280" s="1062" t="s">
        <v>477</v>
      </c>
      <c r="Y280" s="1059"/>
      <c r="Z280" s="1062" t="s">
        <v>479</v>
      </c>
      <c r="AA280" s="1062" t="s">
        <v>291</v>
      </c>
      <c r="AB280" s="1062" t="str">
        <f>IF(S280&gt;=1,(W280*12+Y280)-(S280*12+U280)+1,"")</f>
        <v/>
      </c>
      <c r="AC280" s="1086" t="s">
        <v>480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0"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IF(基本情報入力シート!B109="", "",基本情報入力シート!B109)</f>
        <v/>
      </c>
      <c r="C284" s="1219"/>
      <c r="D284" s="1219"/>
      <c r="E284" s="1219"/>
      <c r="F284" s="1220"/>
      <c r="G284" s="1221" t="str">
        <f>IF(基本情報入力シート!L109="", "",基本情報入力シート!L109)</f>
        <v/>
      </c>
      <c r="H284" s="1221" t="str">
        <f>IF(基本情報入力シート!Q109="", "",基本情報入力シート!Q109)</f>
        <v/>
      </c>
      <c r="I284" s="1221" t="str">
        <f>IF(基本情報入力シート!V109="", "",基本情報入力シート!V109)</f>
        <v/>
      </c>
      <c r="J284" s="1221" t="str">
        <f>IF(基本情報入力シート!W109="", "",基本情報入力シート!W109)</f>
        <v/>
      </c>
      <c r="K284" s="1221" t="str">
        <f>IF(基本情報入力シート!X109="", "",基本情報入力シート!X109)</f>
        <v/>
      </c>
      <c r="L284" s="1222" t="str">
        <f>IF(基本情報入力シート!AC109=0, "",基本情報入力シート!AC109)</f>
        <v/>
      </c>
      <c r="M284" s="1215" t="str">
        <f>IF(基本情報入力シート!AD109="", "",基本情報入力シート!AD109)</f>
        <v/>
      </c>
      <c r="N284" s="1103"/>
      <c r="O284" s="1106" t="str">
        <f>IFERROR(VLOOKUP(K284,【参考】数式用２!$A$2:$AD$48,MATCH(N284,【参考】数式用２!$C$4:$AD$4,0)+2,0),"")</f>
        <v/>
      </c>
      <c r="P284" s="1055"/>
      <c r="Q284" s="1068" t="str">
        <f>IFERROR(VLOOKUP(K284,【参考】数式用２!$A$2:$AC$48,MATCH(P284,【参考】数式用２!$C$4:$AC$4,0)+2,0),"")</f>
        <v/>
      </c>
      <c r="R284" s="1071" t="s">
        <v>388</v>
      </c>
      <c r="S284" s="1059"/>
      <c r="T284" s="1062" t="s">
        <v>477</v>
      </c>
      <c r="U284" s="1059"/>
      <c r="V284" s="1062" t="s">
        <v>478</v>
      </c>
      <c r="W284" s="1059"/>
      <c r="X284" s="1062" t="s">
        <v>477</v>
      </c>
      <c r="Y284" s="1059"/>
      <c r="Z284" s="1062" t="s">
        <v>479</v>
      </c>
      <c r="AA284" s="1062" t="s">
        <v>291</v>
      </c>
      <c r="AB284" s="1062" t="str">
        <f>IF(S284&gt;=1,(W284*12+Y284)-(S284*12+U284)+1,"")</f>
        <v/>
      </c>
      <c r="AC284" s="1086" t="s">
        <v>480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0"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IF(基本情報入力シート!B110="", "",基本情報入力シート!B110)</f>
        <v/>
      </c>
      <c r="C288" s="1219"/>
      <c r="D288" s="1219"/>
      <c r="E288" s="1219"/>
      <c r="F288" s="1220"/>
      <c r="G288" s="1221" t="str">
        <f>IF(基本情報入力シート!L110="", "",基本情報入力シート!L110)</f>
        <v/>
      </c>
      <c r="H288" s="1221" t="str">
        <f>IF(基本情報入力シート!Q110="", "",基本情報入力シート!Q110)</f>
        <v/>
      </c>
      <c r="I288" s="1221" t="str">
        <f>IF(基本情報入力シート!V110="", "",基本情報入力シート!V110)</f>
        <v/>
      </c>
      <c r="J288" s="1221" t="str">
        <f>IF(基本情報入力シート!W110="", "",基本情報入力シート!W110)</f>
        <v/>
      </c>
      <c r="K288" s="1221" t="str">
        <f>IF(基本情報入力シート!X110="", "",基本情報入力シート!X110)</f>
        <v/>
      </c>
      <c r="L288" s="1222" t="str">
        <f>IF(基本情報入力シート!AC110=0, "",基本情報入力シート!AC110)</f>
        <v/>
      </c>
      <c r="M288" s="1215" t="str">
        <f>IF(基本情報入力シート!AD110="", "",基本情報入力シート!AD110)</f>
        <v/>
      </c>
      <c r="N288" s="1103"/>
      <c r="O288" s="1106" t="str">
        <f>IFERROR(VLOOKUP(K288,【参考】数式用２!$A$2:$AD$48,MATCH(N288,【参考】数式用２!$C$4:$AD$4,0)+2,0),"")</f>
        <v/>
      </c>
      <c r="P288" s="1055"/>
      <c r="Q288" s="1068" t="str">
        <f>IFERROR(VLOOKUP(K288,【参考】数式用２!$A$2:$AC$48,MATCH(P288,【参考】数式用２!$C$4:$AC$4,0)+2,0),"")</f>
        <v/>
      </c>
      <c r="R288" s="1071" t="s">
        <v>388</v>
      </c>
      <c r="S288" s="1059"/>
      <c r="T288" s="1062" t="s">
        <v>477</v>
      </c>
      <c r="U288" s="1059"/>
      <c r="V288" s="1062" t="s">
        <v>478</v>
      </c>
      <c r="W288" s="1059"/>
      <c r="X288" s="1062" t="s">
        <v>477</v>
      </c>
      <c r="Y288" s="1059"/>
      <c r="Z288" s="1062" t="s">
        <v>479</v>
      </c>
      <c r="AA288" s="1062" t="s">
        <v>291</v>
      </c>
      <c r="AB288" s="1062" t="str">
        <f>IF(S288&gt;=1,(W288*12+Y288)-(S288*12+U288)+1,"")</f>
        <v/>
      </c>
      <c r="AC288" s="1086" t="s">
        <v>480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0"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IF(基本情報入力シート!B111="", "",基本情報入力シート!B111)</f>
        <v/>
      </c>
      <c r="C292" s="1219"/>
      <c r="D292" s="1219"/>
      <c r="E292" s="1219"/>
      <c r="F292" s="1220"/>
      <c r="G292" s="1221" t="str">
        <f>IF(基本情報入力シート!L111="", "",基本情報入力シート!L111)</f>
        <v/>
      </c>
      <c r="H292" s="1221" t="str">
        <f>IF(基本情報入力シート!Q111="", "",基本情報入力シート!Q111)</f>
        <v/>
      </c>
      <c r="I292" s="1221" t="str">
        <f>IF(基本情報入力シート!V111="", "",基本情報入力シート!V111)</f>
        <v/>
      </c>
      <c r="J292" s="1221" t="str">
        <f>IF(基本情報入力シート!W111="", "",基本情報入力シート!W111)</f>
        <v/>
      </c>
      <c r="K292" s="1221" t="str">
        <f>IF(基本情報入力シート!X111="", "",基本情報入力シート!X111)</f>
        <v/>
      </c>
      <c r="L292" s="1222" t="str">
        <f>IF(基本情報入力シート!AC111=0, "",基本情報入力シート!AC111)</f>
        <v/>
      </c>
      <c r="M292" s="1215" t="str">
        <f>IF(基本情報入力シート!AD111="", "",基本情報入力シート!AD111)</f>
        <v/>
      </c>
      <c r="N292" s="1103"/>
      <c r="O292" s="1106" t="str">
        <f>IFERROR(VLOOKUP(K292,【参考】数式用２!$A$2:$AD$48,MATCH(N292,【参考】数式用２!$C$4:$AD$4,0)+2,0),"")</f>
        <v/>
      </c>
      <c r="P292" s="1055"/>
      <c r="Q292" s="1068" t="str">
        <f>IFERROR(VLOOKUP(K292,【参考】数式用２!$A$2:$AC$48,MATCH(P292,【参考】数式用２!$C$4:$AC$4,0)+2,0),"")</f>
        <v/>
      </c>
      <c r="R292" s="1071" t="s">
        <v>388</v>
      </c>
      <c r="S292" s="1059"/>
      <c r="T292" s="1062" t="s">
        <v>477</v>
      </c>
      <c r="U292" s="1059"/>
      <c r="V292" s="1062" t="s">
        <v>478</v>
      </c>
      <c r="W292" s="1059"/>
      <c r="X292" s="1062" t="s">
        <v>477</v>
      </c>
      <c r="Y292" s="1059"/>
      <c r="Z292" s="1062" t="s">
        <v>479</v>
      </c>
      <c r="AA292" s="1062" t="s">
        <v>291</v>
      </c>
      <c r="AB292" s="1062" t="str">
        <f>IF(S292&gt;=1,(W292*12+Y292)-(S292*12+U292)+1,"")</f>
        <v/>
      </c>
      <c r="AC292" s="1086" t="s">
        <v>480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0"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IF(基本情報入力シート!B112="", "",基本情報入力シート!B112)</f>
        <v/>
      </c>
      <c r="C296" s="1219"/>
      <c r="D296" s="1219"/>
      <c r="E296" s="1219"/>
      <c r="F296" s="1220"/>
      <c r="G296" s="1221" t="str">
        <f>IF(基本情報入力シート!L112="", "",基本情報入力シート!L112)</f>
        <v/>
      </c>
      <c r="H296" s="1221" t="str">
        <f>IF(基本情報入力シート!Q112="", "",基本情報入力シート!Q112)</f>
        <v/>
      </c>
      <c r="I296" s="1221" t="str">
        <f>IF(基本情報入力シート!V112="", "",基本情報入力シート!V112)</f>
        <v/>
      </c>
      <c r="J296" s="1221" t="str">
        <f>IF(基本情報入力シート!W112="", "",基本情報入力シート!W112)</f>
        <v/>
      </c>
      <c r="K296" s="1221" t="str">
        <f>IF(基本情報入力シート!X112="", "",基本情報入力シート!X112)</f>
        <v/>
      </c>
      <c r="L296" s="1222" t="str">
        <f>IF(基本情報入力シート!AC112=0, "",基本情報入力シート!AC112)</f>
        <v/>
      </c>
      <c r="M296" s="1215" t="str">
        <f>IF(基本情報入力シート!AD112="", "",基本情報入力シート!AD112)</f>
        <v/>
      </c>
      <c r="N296" s="1103"/>
      <c r="O296" s="1106" t="str">
        <f>IFERROR(VLOOKUP(K296,【参考】数式用２!$A$2:$AD$48,MATCH(N296,【参考】数式用２!$C$4:$AD$4,0)+2,0),"")</f>
        <v/>
      </c>
      <c r="P296" s="1055"/>
      <c r="Q296" s="1068" t="str">
        <f>IFERROR(VLOOKUP(K296,【参考】数式用２!$A$2:$AC$48,MATCH(P296,【参考】数式用２!$C$4:$AC$4,0)+2,0),"")</f>
        <v/>
      </c>
      <c r="R296" s="1071" t="s">
        <v>388</v>
      </c>
      <c r="S296" s="1059"/>
      <c r="T296" s="1062" t="s">
        <v>477</v>
      </c>
      <c r="U296" s="1059"/>
      <c r="V296" s="1062" t="s">
        <v>478</v>
      </c>
      <c r="W296" s="1059"/>
      <c r="X296" s="1062" t="s">
        <v>477</v>
      </c>
      <c r="Y296" s="1059"/>
      <c r="Z296" s="1062" t="s">
        <v>479</v>
      </c>
      <c r="AA296" s="1062" t="s">
        <v>291</v>
      </c>
      <c r="AB296" s="1062" t="str">
        <f>IF(S296&gt;=1,(W296*12+Y296)-(S296*12+U296)+1,"")</f>
        <v/>
      </c>
      <c r="AC296" s="1086" t="s">
        <v>480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0"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IF(基本情報入力シート!B113="", "",基本情報入力シート!B113)</f>
        <v/>
      </c>
      <c r="C300" s="1219"/>
      <c r="D300" s="1219"/>
      <c r="E300" s="1219"/>
      <c r="F300" s="1220"/>
      <c r="G300" s="1221" t="str">
        <f>IF(基本情報入力シート!L113="", "",基本情報入力シート!L113)</f>
        <v/>
      </c>
      <c r="H300" s="1221" t="str">
        <f>IF(基本情報入力シート!Q113="", "",基本情報入力シート!Q113)</f>
        <v/>
      </c>
      <c r="I300" s="1221" t="str">
        <f>IF(基本情報入力シート!V113="", "",基本情報入力シート!V113)</f>
        <v/>
      </c>
      <c r="J300" s="1221" t="str">
        <f>IF(基本情報入力シート!W113="", "",基本情報入力シート!W113)</f>
        <v/>
      </c>
      <c r="K300" s="1221" t="str">
        <f>IF(基本情報入力シート!X113="", "",基本情報入力シート!X113)</f>
        <v/>
      </c>
      <c r="L300" s="1222" t="str">
        <f>IF(基本情報入力シート!AC113=0, "",基本情報入力シート!AC113)</f>
        <v/>
      </c>
      <c r="M300" s="1215" t="str">
        <f>IF(基本情報入力シート!AD113="", "",基本情報入力シート!AD113)</f>
        <v/>
      </c>
      <c r="N300" s="1103"/>
      <c r="O300" s="1106" t="str">
        <f>IFERROR(VLOOKUP(K300,【参考】数式用２!$A$2:$AD$48,MATCH(N300,【参考】数式用２!$C$4:$AD$4,0)+2,0),"")</f>
        <v/>
      </c>
      <c r="P300" s="1055"/>
      <c r="Q300" s="1068" t="str">
        <f>IFERROR(VLOOKUP(K300,【参考】数式用２!$A$2:$AC$48,MATCH(P300,【参考】数式用２!$C$4:$AC$4,0)+2,0),"")</f>
        <v/>
      </c>
      <c r="R300" s="1071" t="s">
        <v>388</v>
      </c>
      <c r="S300" s="1059"/>
      <c r="T300" s="1062" t="s">
        <v>477</v>
      </c>
      <c r="U300" s="1059"/>
      <c r="V300" s="1062" t="s">
        <v>478</v>
      </c>
      <c r="W300" s="1059"/>
      <c r="X300" s="1062" t="s">
        <v>477</v>
      </c>
      <c r="Y300" s="1059"/>
      <c r="Z300" s="1062" t="s">
        <v>479</v>
      </c>
      <c r="AA300" s="1062" t="s">
        <v>291</v>
      </c>
      <c r="AB300" s="1062" t="str">
        <f>IF(S300&gt;=1,(W300*12+Y300)-(S300*12+U300)+1,"")</f>
        <v/>
      </c>
      <c r="AC300" s="1086" t="s">
        <v>480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0"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IF(基本情報入力シート!B114="", "",基本情報入力シート!B114)</f>
        <v/>
      </c>
      <c r="C304" s="1219"/>
      <c r="D304" s="1219"/>
      <c r="E304" s="1219"/>
      <c r="F304" s="1220"/>
      <c r="G304" s="1221" t="str">
        <f>IF(基本情報入力シート!L114="", "",基本情報入力シート!L114)</f>
        <v/>
      </c>
      <c r="H304" s="1221" t="str">
        <f>IF(基本情報入力シート!Q114="", "",基本情報入力シート!Q114)</f>
        <v/>
      </c>
      <c r="I304" s="1221" t="str">
        <f>IF(基本情報入力シート!V114="", "",基本情報入力シート!V114)</f>
        <v/>
      </c>
      <c r="J304" s="1221" t="str">
        <f>IF(基本情報入力シート!W114="", "",基本情報入力シート!W114)</f>
        <v/>
      </c>
      <c r="K304" s="1221" t="str">
        <f>IF(基本情報入力シート!X114="", "",基本情報入力シート!X114)</f>
        <v/>
      </c>
      <c r="L304" s="1222" t="str">
        <f>IF(基本情報入力シート!AC114=0, "",基本情報入力シート!AC114)</f>
        <v/>
      </c>
      <c r="M304" s="1215" t="str">
        <f>IF(基本情報入力シート!AD114="", "",基本情報入力シート!AD114)</f>
        <v/>
      </c>
      <c r="N304" s="1103"/>
      <c r="O304" s="1106" t="str">
        <f>IFERROR(VLOOKUP(K304,【参考】数式用２!$A$2:$AD$48,MATCH(N304,【参考】数式用２!$C$4:$AD$4,0)+2,0),"")</f>
        <v/>
      </c>
      <c r="P304" s="1055"/>
      <c r="Q304" s="1068" t="str">
        <f>IFERROR(VLOOKUP(K304,【参考】数式用２!$A$2:$AC$48,MATCH(P304,【参考】数式用２!$C$4:$AC$4,0)+2,0),"")</f>
        <v/>
      </c>
      <c r="R304" s="1071" t="s">
        <v>388</v>
      </c>
      <c r="S304" s="1059"/>
      <c r="T304" s="1062" t="s">
        <v>477</v>
      </c>
      <c r="U304" s="1059"/>
      <c r="V304" s="1062" t="s">
        <v>478</v>
      </c>
      <c r="W304" s="1059"/>
      <c r="X304" s="1062" t="s">
        <v>477</v>
      </c>
      <c r="Y304" s="1059"/>
      <c r="Z304" s="1062" t="s">
        <v>479</v>
      </c>
      <c r="AA304" s="1062" t="s">
        <v>291</v>
      </c>
      <c r="AB304" s="1062" t="str">
        <f>IF(S304&gt;=1,(W304*12+Y304)-(S304*12+U304)+1,"")</f>
        <v/>
      </c>
      <c r="AC304" s="1086" t="s">
        <v>480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0"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IF(基本情報入力シート!B115="", "",基本情報入力シート!B115)</f>
        <v/>
      </c>
      <c r="C308" s="1219"/>
      <c r="D308" s="1219"/>
      <c r="E308" s="1219"/>
      <c r="F308" s="1220"/>
      <c r="G308" s="1221" t="str">
        <f>IF(基本情報入力シート!L115="", "",基本情報入力シート!L115)</f>
        <v/>
      </c>
      <c r="H308" s="1221" t="str">
        <f>IF(基本情報入力シート!Q115="", "",基本情報入力シート!Q115)</f>
        <v/>
      </c>
      <c r="I308" s="1221" t="str">
        <f>IF(基本情報入力シート!V115="", "",基本情報入力シート!V115)</f>
        <v/>
      </c>
      <c r="J308" s="1221" t="str">
        <f>IF(基本情報入力シート!W115="", "",基本情報入力シート!W115)</f>
        <v/>
      </c>
      <c r="K308" s="1221" t="str">
        <f>IF(基本情報入力シート!X115="", "",基本情報入力シート!X115)</f>
        <v/>
      </c>
      <c r="L308" s="1222" t="str">
        <f>IF(基本情報入力シート!AC115=0, "",基本情報入力シート!AC115)</f>
        <v/>
      </c>
      <c r="M308" s="1215" t="str">
        <f>IF(基本情報入力シート!AD115="", "",基本情報入力シート!AD115)</f>
        <v/>
      </c>
      <c r="N308" s="1103"/>
      <c r="O308" s="1106" t="str">
        <f>IFERROR(VLOOKUP(K308,【参考】数式用２!$A$2:$AD$48,MATCH(N308,【参考】数式用２!$C$4:$AD$4,0)+2,0),"")</f>
        <v/>
      </c>
      <c r="P308" s="1055"/>
      <c r="Q308" s="1068" t="str">
        <f>IFERROR(VLOOKUP(K308,【参考】数式用２!$A$2:$AC$48,MATCH(P308,【参考】数式用２!$C$4:$AC$4,0)+2,0),"")</f>
        <v/>
      </c>
      <c r="R308" s="1071" t="s">
        <v>388</v>
      </c>
      <c r="S308" s="1059"/>
      <c r="T308" s="1062" t="s">
        <v>477</v>
      </c>
      <c r="U308" s="1059"/>
      <c r="V308" s="1062" t="s">
        <v>478</v>
      </c>
      <c r="W308" s="1059"/>
      <c r="X308" s="1062" t="s">
        <v>477</v>
      </c>
      <c r="Y308" s="1059"/>
      <c r="Z308" s="1062" t="s">
        <v>479</v>
      </c>
      <c r="AA308" s="1062" t="s">
        <v>291</v>
      </c>
      <c r="AB308" s="1062" t="str">
        <f>IF(S308&gt;=1,(W308*12+Y308)-(S308*12+U308)+1,"")</f>
        <v/>
      </c>
      <c r="AC308" s="1086" t="s">
        <v>480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0"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IF(基本情報入力シート!B116="", "",基本情報入力シート!B116)</f>
        <v/>
      </c>
      <c r="C312" s="1219"/>
      <c r="D312" s="1219"/>
      <c r="E312" s="1219"/>
      <c r="F312" s="1220"/>
      <c r="G312" s="1221" t="str">
        <f>IF(基本情報入力シート!L116="", "",基本情報入力シート!L116)</f>
        <v/>
      </c>
      <c r="H312" s="1221" t="str">
        <f>IF(基本情報入力シート!Q116="", "",基本情報入力シート!Q116)</f>
        <v/>
      </c>
      <c r="I312" s="1221" t="str">
        <f>IF(基本情報入力シート!V116="", "",基本情報入力シート!V116)</f>
        <v/>
      </c>
      <c r="J312" s="1221" t="str">
        <f>IF(基本情報入力シート!W116="", "",基本情報入力シート!W116)</f>
        <v/>
      </c>
      <c r="K312" s="1221" t="str">
        <f>IF(基本情報入力シート!X116="", "",基本情報入力シート!X116)</f>
        <v/>
      </c>
      <c r="L312" s="1222" t="str">
        <f>IF(基本情報入力シート!AC116=0, "",基本情報入力シート!AC116)</f>
        <v/>
      </c>
      <c r="M312" s="1215" t="str">
        <f>IF(基本情報入力シート!AD116="", "",基本情報入力シート!AD116)</f>
        <v/>
      </c>
      <c r="N312" s="1103"/>
      <c r="O312" s="1106" t="str">
        <f>IFERROR(VLOOKUP(K312,【参考】数式用２!$A$2:$AD$48,MATCH(N312,【参考】数式用２!$C$4:$AD$4,0)+2,0),"")</f>
        <v/>
      </c>
      <c r="P312" s="1055"/>
      <c r="Q312" s="1068" t="str">
        <f>IFERROR(VLOOKUP(K312,【参考】数式用２!$A$2:$AC$48,MATCH(P312,【参考】数式用２!$C$4:$AC$4,0)+2,0),"")</f>
        <v/>
      </c>
      <c r="R312" s="1071" t="s">
        <v>388</v>
      </c>
      <c r="S312" s="1059"/>
      <c r="T312" s="1062" t="s">
        <v>477</v>
      </c>
      <c r="U312" s="1059"/>
      <c r="V312" s="1062" t="s">
        <v>478</v>
      </c>
      <c r="W312" s="1059"/>
      <c r="X312" s="1062" t="s">
        <v>477</v>
      </c>
      <c r="Y312" s="1059"/>
      <c r="Z312" s="1062" t="s">
        <v>479</v>
      </c>
      <c r="AA312" s="1062" t="s">
        <v>291</v>
      </c>
      <c r="AB312" s="1062" t="str">
        <f>IF(S312&gt;=1,(W312*12+Y312)-(S312*12+U312)+1,"")</f>
        <v/>
      </c>
      <c r="AC312" s="1086" t="s">
        <v>480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0"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IF(基本情報入力シート!B117="", "",基本情報入力シート!B117)</f>
        <v/>
      </c>
      <c r="C316" s="1219"/>
      <c r="D316" s="1219"/>
      <c r="E316" s="1219"/>
      <c r="F316" s="1220"/>
      <c r="G316" s="1221" t="str">
        <f>IF(基本情報入力シート!L117="", "",基本情報入力シート!L117)</f>
        <v/>
      </c>
      <c r="H316" s="1221" t="str">
        <f>IF(基本情報入力シート!Q117="", "",基本情報入力シート!Q117)</f>
        <v/>
      </c>
      <c r="I316" s="1221" t="str">
        <f>IF(基本情報入力シート!V117="", "",基本情報入力シート!V117)</f>
        <v/>
      </c>
      <c r="J316" s="1221" t="str">
        <f>IF(基本情報入力シート!W117="", "",基本情報入力シート!W117)</f>
        <v/>
      </c>
      <c r="K316" s="1221" t="str">
        <f>IF(基本情報入力シート!X117="", "",基本情報入力シート!X117)</f>
        <v/>
      </c>
      <c r="L316" s="1222" t="str">
        <f>IF(基本情報入力シート!AC117=0, "",基本情報入力シート!AC117)</f>
        <v/>
      </c>
      <c r="M316" s="1215" t="str">
        <f>IF(基本情報入力シート!AD117="", "",基本情報入力シート!AD117)</f>
        <v/>
      </c>
      <c r="N316" s="1103"/>
      <c r="O316" s="1106" t="str">
        <f>IFERROR(VLOOKUP(K316,【参考】数式用２!$A$2:$AD$48,MATCH(N316,【参考】数式用２!$C$4:$AD$4,0)+2,0),"")</f>
        <v/>
      </c>
      <c r="P316" s="1055"/>
      <c r="Q316" s="1068" t="str">
        <f>IFERROR(VLOOKUP(K316,【参考】数式用２!$A$2:$AC$48,MATCH(P316,【参考】数式用２!$C$4:$AC$4,0)+2,0),"")</f>
        <v/>
      </c>
      <c r="R316" s="1071" t="s">
        <v>388</v>
      </c>
      <c r="S316" s="1059"/>
      <c r="T316" s="1062" t="s">
        <v>477</v>
      </c>
      <c r="U316" s="1059"/>
      <c r="V316" s="1062" t="s">
        <v>478</v>
      </c>
      <c r="W316" s="1059"/>
      <c r="X316" s="1062" t="s">
        <v>477</v>
      </c>
      <c r="Y316" s="1059"/>
      <c r="Z316" s="1062" t="s">
        <v>479</v>
      </c>
      <c r="AA316" s="1062" t="s">
        <v>291</v>
      </c>
      <c r="AB316" s="1062" t="str">
        <f>IF(S316&gt;=1,(W316*12+Y316)-(S316*12+U316)+1,"")</f>
        <v/>
      </c>
      <c r="AC316" s="1086" t="s">
        <v>480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0"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IF(基本情報入力シート!B118="", "",基本情報入力シート!B118)</f>
        <v/>
      </c>
      <c r="C320" s="1219"/>
      <c r="D320" s="1219"/>
      <c r="E320" s="1219"/>
      <c r="F320" s="1220"/>
      <c r="G320" s="1221" t="str">
        <f>IF(基本情報入力シート!L118="", "",基本情報入力シート!L118)</f>
        <v/>
      </c>
      <c r="H320" s="1221" t="str">
        <f>IF(基本情報入力シート!Q118="", "",基本情報入力シート!Q118)</f>
        <v/>
      </c>
      <c r="I320" s="1221" t="str">
        <f>IF(基本情報入力シート!V118="", "",基本情報入力シート!V118)</f>
        <v/>
      </c>
      <c r="J320" s="1221" t="str">
        <f>IF(基本情報入力シート!W118="", "",基本情報入力シート!W118)</f>
        <v/>
      </c>
      <c r="K320" s="1221" t="str">
        <f>IF(基本情報入力シート!X118="", "",基本情報入力シート!X118)</f>
        <v/>
      </c>
      <c r="L320" s="1222" t="str">
        <f>IF(基本情報入力シート!AC118=0, "",基本情報入力シート!AC118)</f>
        <v/>
      </c>
      <c r="M320" s="1215" t="str">
        <f>IF(基本情報入力シート!AD118="", "",基本情報入力シート!AD118)</f>
        <v/>
      </c>
      <c r="N320" s="1103"/>
      <c r="O320" s="1106" t="str">
        <f>IFERROR(VLOOKUP(K320,【参考】数式用２!$A$2:$AD$48,MATCH(N320,【参考】数式用２!$C$4:$AD$4,0)+2,0),"")</f>
        <v/>
      </c>
      <c r="P320" s="1055"/>
      <c r="Q320" s="1068" t="str">
        <f>IFERROR(VLOOKUP(K320,【参考】数式用２!$A$2:$AC$48,MATCH(P320,【参考】数式用２!$C$4:$AC$4,0)+2,0),"")</f>
        <v/>
      </c>
      <c r="R320" s="1071" t="s">
        <v>388</v>
      </c>
      <c r="S320" s="1059"/>
      <c r="T320" s="1062" t="s">
        <v>477</v>
      </c>
      <c r="U320" s="1059"/>
      <c r="V320" s="1062" t="s">
        <v>478</v>
      </c>
      <c r="W320" s="1059"/>
      <c r="X320" s="1062" t="s">
        <v>477</v>
      </c>
      <c r="Y320" s="1059"/>
      <c r="Z320" s="1062" t="s">
        <v>479</v>
      </c>
      <c r="AA320" s="1062" t="s">
        <v>291</v>
      </c>
      <c r="AB320" s="1062" t="str">
        <f>IF(S320&gt;=1,(W320*12+Y320)-(S320*12+U320)+1,"")</f>
        <v/>
      </c>
      <c r="AC320" s="1086" t="s">
        <v>480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0"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IF(基本情報入力シート!B119="", "",基本情報入力シート!B119)</f>
        <v/>
      </c>
      <c r="C324" s="1219"/>
      <c r="D324" s="1219"/>
      <c r="E324" s="1219"/>
      <c r="F324" s="1220"/>
      <c r="G324" s="1221" t="str">
        <f>IF(基本情報入力シート!L119="", "",基本情報入力シート!L119)</f>
        <v/>
      </c>
      <c r="H324" s="1221" t="str">
        <f>IF(基本情報入力シート!Q119="", "",基本情報入力シート!Q119)</f>
        <v/>
      </c>
      <c r="I324" s="1221" t="str">
        <f>IF(基本情報入力シート!V119="", "",基本情報入力シート!V119)</f>
        <v/>
      </c>
      <c r="J324" s="1221" t="str">
        <f>IF(基本情報入力シート!W119="", "",基本情報入力シート!W119)</f>
        <v/>
      </c>
      <c r="K324" s="1221" t="str">
        <f>IF(基本情報入力シート!X119="", "",基本情報入力シート!X119)</f>
        <v/>
      </c>
      <c r="L324" s="1222" t="str">
        <f>IF(基本情報入力シート!AC119=0, "",基本情報入力シート!AC119)</f>
        <v/>
      </c>
      <c r="M324" s="1215" t="str">
        <f>IF(基本情報入力シート!AD119="", "",基本情報入力シート!AD119)</f>
        <v/>
      </c>
      <c r="N324" s="1103"/>
      <c r="O324" s="1106" t="str">
        <f>IFERROR(VLOOKUP(K324,【参考】数式用２!$A$2:$AD$48,MATCH(N324,【参考】数式用２!$C$4:$AD$4,0)+2,0),"")</f>
        <v/>
      </c>
      <c r="P324" s="1055"/>
      <c r="Q324" s="1068" t="str">
        <f>IFERROR(VLOOKUP(K324,【参考】数式用２!$A$2:$AC$48,MATCH(P324,【参考】数式用２!$C$4:$AC$4,0)+2,0),"")</f>
        <v/>
      </c>
      <c r="R324" s="1071" t="s">
        <v>388</v>
      </c>
      <c r="S324" s="1059"/>
      <c r="T324" s="1062" t="s">
        <v>477</v>
      </c>
      <c r="U324" s="1059"/>
      <c r="V324" s="1062" t="s">
        <v>478</v>
      </c>
      <c r="W324" s="1059"/>
      <c r="X324" s="1062" t="s">
        <v>477</v>
      </c>
      <c r="Y324" s="1059"/>
      <c r="Z324" s="1062" t="s">
        <v>479</v>
      </c>
      <c r="AA324" s="1062" t="s">
        <v>291</v>
      </c>
      <c r="AB324" s="1062" t="str">
        <f>IF(S324&gt;=1,(W324*12+Y324)-(S324*12+U324)+1,"")</f>
        <v/>
      </c>
      <c r="AC324" s="1086" t="s">
        <v>480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0"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IF(基本情報入力シート!B120="", "",基本情報入力シート!B120)</f>
        <v/>
      </c>
      <c r="C328" s="1219"/>
      <c r="D328" s="1219"/>
      <c r="E328" s="1219"/>
      <c r="F328" s="1220"/>
      <c r="G328" s="1221" t="str">
        <f>IF(基本情報入力シート!L120="", "",基本情報入力シート!L120)</f>
        <v/>
      </c>
      <c r="H328" s="1221" t="str">
        <f>IF(基本情報入力シート!Q120="", "",基本情報入力シート!Q120)</f>
        <v/>
      </c>
      <c r="I328" s="1221" t="str">
        <f>IF(基本情報入力シート!V120="", "",基本情報入力シート!V120)</f>
        <v/>
      </c>
      <c r="J328" s="1221" t="str">
        <f>IF(基本情報入力シート!W120="", "",基本情報入力シート!W120)</f>
        <v/>
      </c>
      <c r="K328" s="1221" t="str">
        <f>IF(基本情報入力シート!X120="", "",基本情報入力シート!X120)</f>
        <v/>
      </c>
      <c r="L328" s="1222" t="str">
        <f>IF(基本情報入力シート!AC120=0, "",基本情報入力シート!AC120)</f>
        <v/>
      </c>
      <c r="M328" s="1215" t="str">
        <f>IF(基本情報入力シート!AD120="", "",基本情報入力シート!AD120)</f>
        <v/>
      </c>
      <c r="N328" s="1103"/>
      <c r="O328" s="1106" t="str">
        <f>IFERROR(VLOOKUP(K328,【参考】数式用２!$A$2:$AD$48,MATCH(N328,【参考】数式用２!$C$4:$AD$4,0)+2,0),"")</f>
        <v/>
      </c>
      <c r="P328" s="1055"/>
      <c r="Q328" s="1068" t="str">
        <f>IFERROR(VLOOKUP(K328,【参考】数式用２!$A$2:$AC$48,MATCH(P328,【参考】数式用２!$C$4:$AC$4,0)+2,0),"")</f>
        <v/>
      </c>
      <c r="R328" s="1071" t="s">
        <v>388</v>
      </c>
      <c r="S328" s="1059"/>
      <c r="T328" s="1062" t="s">
        <v>477</v>
      </c>
      <c r="U328" s="1059"/>
      <c r="V328" s="1062" t="s">
        <v>478</v>
      </c>
      <c r="W328" s="1059"/>
      <c r="X328" s="1062" t="s">
        <v>477</v>
      </c>
      <c r="Y328" s="1059"/>
      <c r="Z328" s="1062" t="s">
        <v>479</v>
      </c>
      <c r="AA328" s="1062" t="s">
        <v>291</v>
      </c>
      <c r="AB328" s="1062" t="str">
        <f>IF(S328&gt;=1,(W328*12+Y328)-(S328*12+U328)+1,"")</f>
        <v/>
      </c>
      <c r="AC328" s="1086" t="s">
        <v>480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0"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IF(基本情報入力シート!B121="", "",基本情報入力シート!B121)</f>
        <v/>
      </c>
      <c r="C332" s="1219"/>
      <c r="D332" s="1219"/>
      <c r="E332" s="1219"/>
      <c r="F332" s="1220"/>
      <c r="G332" s="1221" t="str">
        <f>IF(基本情報入力シート!L121="", "",基本情報入力シート!L121)</f>
        <v/>
      </c>
      <c r="H332" s="1221" t="str">
        <f>IF(基本情報入力シート!Q121="", "",基本情報入力シート!Q121)</f>
        <v/>
      </c>
      <c r="I332" s="1221" t="str">
        <f>IF(基本情報入力シート!V121="", "",基本情報入力シート!V121)</f>
        <v/>
      </c>
      <c r="J332" s="1221" t="str">
        <f>IF(基本情報入力シート!W121="", "",基本情報入力シート!W121)</f>
        <v/>
      </c>
      <c r="K332" s="1221" t="str">
        <f>IF(基本情報入力シート!X121="", "",基本情報入力シート!X121)</f>
        <v/>
      </c>
      <c r="L332" s="1222" t="str">
        <f>IF(基本情報入力シート!AC121=0, "",基本情報入力シート!AC121)</f>
        <v/>
      </c>
      <c r="M332" s="1215" t="str">
        <f>IF(基本情報入力シート!AD121="", "",基本情報入力シート!AD121)</f>
        <v/>
      </c>
      <c r="N332" s="1103"/>
      <c r="O332" s="1106" t="str">
        <f>IFERROR(VLOOKUP(K332,【参考】数式用２!$A$2:$AD$48,MATCH(N332,【参考】数式用２!$C$4:$AD$4,0)+2,0),"")</f>
        <v/>
      </c>
      <c r="P332" s="1055"/>
      <c r="Q332" s="1068" t="str">
        <f>IFERROR(VLOOKUP(K332,【参考】数式用２!$A$2:$AC$48,MATCH(P332,【参考】数式用２!$C$4:$AC$4,0)+2,0),"")</f>
        <v/>
      </c>
      <c r="R332" s="1071" t="s">
        <v>388</v>
      </c>
      <c r="S332" s="1059"/>
      <c r="T332" s="1062" t="s">
        <v>477</v>
      </c>
      <c r="U332" s="1059"/>
      <c r="V332" s="1062" t="s">
        <v>478</v>
      </c>
      <c r="W332" s="1059"/>
      <c r="X332" s="1062" t="s">
        <v>477</v>
      </c>
      <c r="Y332" s="1059"/>
      <c r="Z332" s="1062" t="s">
        <v>479</v>
      </c>
      <c r="AA332" s="1062" t="s">
        <v>291</v>
      </c>
      <c r="AB332" s="1062" t="str">
        <f>IF(S332&gt;=1,(W332*12+Y332)-(S332*12+U332)+1,"")</f>
        <v/>
      </c>
      <c r="AC332" s="1086" t="s">
        <v>480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0"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IF(基本情報入力シート!B122="", "",基本情報入力シート!B122)</f>
        <v/>
      </c>
      <c r="C336" s="1219"/>
      <c r="D336" s="1219"/>
      <c r="E336" s="1219"/>
      <c r="F336" s="1220"/>
      <c r="G336" s="1221" t="str">
        <f>IF(基本情報入力シート!L122="", "",基本情報入力シート!L122)</f>
        <v/>
      </c>
      <c r="H336" s="1221" t="str">
        <f>IF(基本情報入力シート!Q122="", "",基本情報入力シート!Q122)</f>
        <v/>
      </c>
      <c r="I336" s="1221" t="str">
        <f>IF(基本情報入力シート!V122="", "",基本情報入力シート!V122)</f>
        <v/>
      </c>
      <c r="J336" s="1221" t="str">
        <f>IF(基本情報入力シート!W122="", "",基本情報入力シート!W122)</f>
        <v/>
      </c>
      <c r="K336" s="1221" t="str">
        <f>IF(基本情報入力シート!X122="", "",基本情報入力シート!X122)</f>
        <v/>
      </c>
      <c r="L336" s="1222" t="str">
        <f>IF(基本情報入力シート!AC122=0, "",基本情報入力シート!AC122)</f>
        <v/>
      </c>
      <c r="M336" s="1215" t="str">
        <f>IF(基本情報入力シート!AD122="", "",基本情報入力シート!AD122)</f>
        <v/>
      </c>
      <c r="N336" s="1103"/>
      <c r="O336" s="1106" t="str">
        <f>IFERROR(VLOOKUP(K336,【参考】数式用２!$A$2:$AD$48,MATCH(N336,【参考】数式用２!$C$4:$AD$4,0)+2,0),"")</f>
        <v/>
      </c>
      <c r="P336" s="1055"/>
      <c r="Q336" s="1068" t="str">
        <f>IFERROR(VLOOKUP(K336,【参考】数式用２!$A$2:$AC$48,MATCH(P336,【参考】数式用２!$C$4:$AC$4,0)+2,0),"")</f>
        <v/>
      </c>
      <c r="R336" s="1071" t="s">
        <v>388</v>
      </c>
      <c r="S336" s="1059"/>
      <c r="T336" s="1062" t="s">
        <v>477</v>
      </c>
      <c r="U336" s="1059"/>
      <c r="V336" s="1062" t="s">
        <v>478</v>
      </c>
      <c r="W336" s="1059"/>
      <c r="X336" s="1062" t="s">
        <v>477</v>
      </c>
      <c r="Y336" s="1059"/>
      <c r="Z336" s="1062" t="s">
        <v>479</v>
      </c>
      <c r="AA336" s="1062" t="s">
        <v>291</v>
      </c>
      <c r="AB336" s="1062" t="str">
        <f>IF(S336&gt;=1,(W336*12+Y336)-(S336*12+U336)+1,"")</f>
        <v/>
      </c>
      <c r="AC336" s="1086" t="s">
        <v>480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0"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IF(基本情報入力シート!B123="", "",基本情報入力シート!B123)</f>
        <v/>
      </c>
      <c r="C340" s="1219"/>
      <c r="D340" s="1219"/>
      <c r="E340" s="1219"/>
      <c r="F340" s="1220"/>
      <c r="G340" s="1221" t="str">
        <f>IF(基本情報入力シート!L123="", "",基本情報入力シート!L123)</f>
        <v/>
      </c>
      <c r="H340" s="1221" t="str">
        <f>IF(基本情報入力シート!Q123="", "",基本情報入力シート!Q123)</f>
        <v/>
      </c>
      <c r="I340" s="1221" t="str">
        <f>IF(基本情報入力シート!V123="", "",基本情報入力シート!V123)</f>
        <v/>
      </c>
      <c r="J340" s="1221" t="str">
        <f>IF(基本情報入力シート!W123="", "",基本情報入力シート!W123)</f>
        <v/>
      </c>
      <c r="K340" s="1221" t="str">
        <f>IF(基本情報入力シート!X123="", "",基本情報入力シート!X123)</f>
        <v/>
      </c>
      <c r="L340" s="1222" t="str">
        <f>IF(基本情報入力シート!AC123=0, "",基本情報入力シート!AC123)</f>
        <v/>
      </c>
      <c r="M340" s="1215" t="str">
        <f>IF(基本情報入力シート!AD123="", "",基本情報入力シート!AD123)</f>
        <v/>
      </c>
      <c r="N340" s="1103"/>
      <c r="O340" s="1106" t="str">
        <f>IFERROR(VLOOKUP(K340,【参考】数式用２!$A$2:$AD$48,MATCH(N340,【参考】数式用２!$C$4:$AD$4,0)+2,0),"")</f>
        <v/>
      </c>
      <c r="P340" s="1055"/>
      <c r="Q340" s="1068" t="str">
        <f>IFERROR(VLOOKUP(K340,【参考】数式用２!$A$2:$AC$48,MATCH(P340,【参考】数式用２!$C$4:$AC$4,0)+2,0),"")</f>
        <v/>
      </c>
      <c r="R340" s="1071" t="s">
        <v>388</v>
      </c>
      <c r="S340" s="1059"/>
      <c r="T340" s="1062" t="s">
        <v>477</v>
      </c>
      <c r="U340" s="1059"/>
      <c r="V340" s="1062" t="s">
        <v>478</v>
      </c>
      <c r="W340" s="1059"/>
      <c r="X340" s="1062" t="s">
        <v>477</v>
      </c>
      <c r="Y340" s="1059"/>
      <c r="Z340" s="1062" t="s">
        <v>479</v>
      </c>
      <c r="AA340" s="1062" t="s">
        <v>291</v>
      </c>
      <c r="AB340" s="1062" t="str">
        <f>IF(S340&gt;=1,(W340*12+Y340)-(S340*12+U340)+1,"")</f>
        <v/>
      </c>
      <c r="AC340" s="1086" t="s">
        <v>480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0"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IF(基本情報入力シート!B124="", "",基本情報入力シート!B124)</f>
        <v/>
      </c>
      <c r="C344" s="1219"/>
      <c r="D344" s="1219"/>
      <c r="E344" s="1219"/>
      <c r="F344" s="1220"/>
      <c r="G344" s="1221" t="str">
        <f>IF(基本情報入力シート!L124="", "",基本情報入力シート!L124)</f>
        <v/>
      </c>
      <c r="H344" s="1221" t="str">
        <f>IF(基本情報入力シート!Q124="", "",基本情報入力シート!Q124)</f>
        <v/>
      </c>
      <c r="I344" s="1221" t="str">
        <f>IF(基本情報入力シート!V124="", "",基本情報入力シート!V124)</f>
        <v/>
      </c>
      <c r="J344" s="1221" t="str">
        <f>IF(基本情報入力シート!W124="", "",基本情報入力シート!W124)</f>
        <v/>
      </c>
      <c r="K344" s="1221" t="str">
        <f>IF(基本情報入力シート!X124="", "",基本情報入力シート!X124)</f>
        <v/>
      </c>
      <c r="L344" s="1222" t="str">
        <f>IF(基本情報入力シート!AC124=0, "",基本情報入力シート!AC124)</f>
        <v/>
      </c>
      <c r="M344" s="1215" t="str">
        <f>IF(基本情報入力シート!AD124="", "",基本情報入力シート!AD124)</f>
        <v/>
      </c>
      <c r="N344" s="1103"/>
      <c r="O344" s="1106" t="str">
        <f>IFERROR(VLOOKUP(K344,【参考】数式用２!$A$2:$AD$48,MATCH(N344,【参考】数式用２!$C$4:$AD$4,0)+2,0),"")</f>
        <v/>
      </c>
      <c r="P344" s="1055"/>
      <c r="Q344" s="1068" t="str">
        <f>IFERROR(VLOOKUP(K344,【参考】数式用２!$A$2:$AC$48,MATCH(P344,【参考】数式用２!$C$4:$AC$4,0)+2,0),"")</f>
        <v/>
      </c>
      <c r="R344" s="1071" t="s">
        <v>388</v>
      </c>
      <c r="S344" s="1059"/>
      <c r="T344" s="1062" t="s">
        <v>477</v>
      </c>
      <c r="U344" s="1059"/>
      <c r="V344" s="1062" t="s">
        <v>478</v>
      </c>
      <c r="W344" s="1059"/>
      <c r="X344" s="1062" t="s">
        <v>477</v>
      </c>
      <c r="Y344" s="1059"/>
      <c r="Z344" s="1062" t="s">
        <v>479</v>
      </c>
      <c r="AA344" s="1062" t="s">
        <v>291</v>
      </c>
      <c r="AB344" s="1062" t="str">
        <f>IF(S344&gt;=1,(W344*12+Y344)-(S344*12+U344)+1,"")</f>
        <v/>
      </c>
      <c r="AC344" s="1086" t="s">
        <v>480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0"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IF(基本情報入力シート!B125="", "",基本情報入力シート!B125)</f>
        <v/>
      </c>
      <c r="C348" s="1219"/>
      <c r="D348" s="1219"/>
      <c r="E348" s="1219"/>
      <c r="F348" s="1220"/>
      <c r="G348" s="1221" t="str">
        <f>IF(基本情報入力シート!L125="", "",基本情報入力シート!L125)</f>
        <v/>
      </c>
      <c r="H348" s="1221" t="str">
        <f>IF(基本情報入力シート!Q125="", "",基本情報入力シート!Q125)</f>
        <v/>
      </c>
      <c r="I348" s="1221" t="str">
        <f>IF(基本情報入力シート!V125="", "",基本情報入力シート!V125)</f>
        <v/>
      </c>
      <c r="J348" s="1221" t="str">
        <f>IF(基本情報入力シート!W125="", "",基本情報入力シート!W125)</f>
        <v/>
      </c>
      <c r="K348" s="1221" t="str">
        <f>IF(基本情報入力シート!X125="", "",基本情報入力シート!X125)</f>
        <v/>
      </c>
      <c r="L348" s="1222" t="str">
        <f>IF(基本情報入力シート!AC125=0, "",基本情報入力シート!AC125)</f>
        <v/>
      </c>
      <c r="M348" s="1215" t="str">
        <f>IF(基本情報入力シート!AD125="", "",基本情報入力シート!AD125)</f>
        <v/>
      </c>
      <c r="N348" s="1103"/>
      <c r="O348" s="1106" t="str">
        <f>IFERROR(VLOOKUP(K348,【参考】数式用２!$A$2:$AD$48,MATCH(N348,【参考】数式用２!$C$4:$AD$4,0)+2,0),"")</f>
        <v/>
      </c>
      <c r="P348" s="1055"/>
      <c r="Q348" s="1068" t="str">
        <f>IFERROR(VLOOKUP(K348,【参考】数式用２!$A$2:$AC$48,MATCH(P348,【参考】数式用２!$C$4:$AC$4,0)+2,0),"")</f>
        <v/>
      </c>
      <c r="R348" s="1071" t="s">
        <v>388</v>
      </c>
      <c r="S348" s="1059"/>
      <c r="T348" s="1062" t="s">
        <v>477</v>
      </c>
      <c r="U348" s="1059"/>
      <c r="V348" s="1062" t="s">
        <v>478</v>
      </c>
      <c r="W348" s="1059"/>
      <c r="X348" s="1062" t="s">
        <v>477</v>
      </c>
      <c r="Y348" s="1059"/>
      <c r="Z348" s="1062" t="s">
        <v>479</v>
      </c>
      <c r="AA348" s="1062" t="s">
        <v>291</v>
      </c>
      <c r="AB348" s="1062" t="str">
        <f>IF(S348&gt;=1,(W348*12+Y348)-(S348*12+U348)+1,"")</f>
        <v/>
      </c>
      <c r="AC348" s="1086" t="s">
        <v>480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0"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IF(基本情報入力シート!B126="", "",基本情報入力シート!B126)</f>
        <v/>
      </c>
      <c r="C352" s="1219"/>
      <c r="D352" s="1219"/>
      <c r="E352" s="1219"/>
      <c r="F352" s="1220"/>
      <c r="G352" s="1221" t="str">
        <f>IF(基本情報入力シート!L126="", "",基本情報入力シート!L126)</f>
        <v/>
      </c>
      <c r="H352" s="1221" t="str">
        <f>IF(基本情報入力シート!Q126="", "",基本情報入力シート!Q126)</f>
        <v/>
      </c>
      <c r="I352" s="1221" t="str">
        <f>IF(基本情報入力シート!V126="", "",基本情報入力シート!V126)</f>
        <v/>
      </c>
      <c r="J352" s="1221" t="str">
        <f>IF(基本情報入力シート!W126="", "",基本情報入力シート!W126)</f>
        <v/>
      </c>
      <c r="K352" s="1221" t="str">
        <f>IF(基本情報入力シート!X126="", "",基本情報入力シート!X126)</f>
        <v/>
      </c>
      <c r="L352" s="1222" t="str">
        <f>IF(基本情報入力シート!AC126=0, "",基本情報入力シート!AC126)</f>
        <v/>
      </c>
      <c r="M352" s="1215" t="str">
        <f>IF(基本情報入力シート!AD126="", "",基本情報入力シート!AD126)</f>
        <v/>
      </c>
      <c r="N352" s="1103"/>
      <c r="O352" s="1106" t="str">
        <f>IFERROR(VLOOKUP(K352,【参考】数式用２!$A$2:$AD$48,MATCH(N352,【参考】数式用２!$C$4:$AD$4,0)+2,0),"")</f>
        <v/>
      </c>
      <c r="P352" s="1055"/>
      <c r="Q352" s="1068" t="str">
        <f>IFERROR(VLOOKUP(K352,【参考】数式用２!$A$2:$AC$48,MATCH(P352,【参考】数式用２!$C$4:$AC$4,0)+2,0),"")</f>
        <v/>
      </c>
      <c r="R352" s="1071" t="s">
        <v>388</v>
      </c>
      <c r="S352" s="1059"/>
      <c r="T352" s="1062" t="s">
        <v>477</v>
      </c>
      <c r="U352" s="1059"/>
      <c r="V352" s="1062" t="s">
        <v>478</v>
      </c>
      <c r="W352" s="1059"/>
      <c r="X352" s="1062" t="s">
        <v>477</v>
      </c>
      <c r="Y352" s="1059"/>
      <c r="Z352" s="1062" t="s">
        <v>479</v>
      </c>
      <c r="AA352" s="1062" t="s">
        <v>291</v>
      </c>
      <c r="AB352" s="1062" t="str">
        <f>IF(S352&gt;=1,(W352*12+Y352)-(S352*12+U352)+1,"")</f>
        <v/>
      </c>
      <c r="AC352" s="1086" t="s">
        <v>480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0"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IF(基本情報入力シート!B127="", "",基本情報入力シート!B127)</f>
        <v/>
      </c>
      <c r="C356" s="1219"/>
      <c r="D356" s="1219"/>
      <c r="E356" s="1219"/>
      <c r="F356" s="1220"/>
      <c r="G356" s="1221" t="str">
        <f>IF(基本情報入力シート!L127="", "",基本情報入力シート!L127)</f>
        <v/>
      </c>
      <c r="H356" s="1221" t="str">
        <f>IF(基本情報入力シート!Q127="", "",基本情報入力シート!Q127)</f>
        <v/>
      </c>
      <c r="I356" s="1221" t="str">
        <f>IF(基本情報入力シート!V127="", "",基本情報入力シート!V127)</f>
        <v/>
      </c>
      <c r="J356" s="1221" t="str">
        <f>IF(基本情報入力シート!W127="", "",基本情報入力シート!W127)</f>
        <v/>
      </c>
      <c r="K356" s="1221" t="str">
        <f>IF(基本情報入力シート!X127="", "",基本情報入力シート!X127)</f>
        <v/>
      </c>
      <c r="L356" s="1222" t="str">
        <f>IF(基本情報入力シート!AC127=0, "",基本情報入力シート!AC127)</f>
        <v/>
      </c>
      <c r="M356" s="1215" t="str">
        <f>IF(基本情報入力シート!AD127="", "",基本情報入力シート!AD127)</f>
        <v/>
      </c>
      <c r="N356" s="1103"/>
      <c r="O356" s="1106" t="str">
        <f>IFERROR(VLOOKUP(K356,【参考】数式用２!$A$2:$AD$48,MATCH(N356,【参考】数式用２!$C$4:$AD$4,0)+2,0),"")</f>
        <v/>
      </c>
      <c r="P356" s="1055"/>
      <c r="Q356" s="1068" t="str">
        <f>IFERROR(VLOOKUP(K356,【参考】数式用２!$A$2:$AC$48,MATCH(P356,【参考】数式用２!$C$4:$AC$4,0)+2,0),"")</f>
        <v/>
      </c>
      <c r="R356" s="1071" t="s">
        <v>388</v>
      </c>
      <c r="S356" s="1059"/>
      <c r="T356" s="1062" t="s">
        <v>477</v>
      </c>
      <c r="U356" s="1059"/>
      <c r="V356" s="1062" t="s">
        <v>478</v>
      </c>
      <c r="W356" s="1059"/>
      <c r="X356" s="1062" t="s">
        <v>477</v>
      </c>
      <c r="Y356" s="1059"/>
      <c r="Z356" s="1062" t="s">
        <v>479</v>
      </c>
      <c r="AA356" s="1062" t="s">
        <v>291</v>
      </c>
      <c r="AB356" s="1062" t="str">
        <f>IF(S356&gt;=1,(W356*12+Y356)-(S356*12+U356)+1,"")</f>
        <v/>
      </c>
      <c r="AC356" s="1086" t="s">
        <v>480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0"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IF(基本情報入力シート!B128="", "",基本情報入力シート!B128)</f>
        <v/>
      </c>
      <c r="C360" s="1219"/>
      <c r="D360" s="1219"/>
      <c r="E360" s="1219"/>
      <c r="F360" s="1220"/>
      <c r="G360" s="1221" t="str">
        <f>IF(基本情報入力シート!L128="", "",基本情報入力シート!L128)</f>
        <v/>
      </c>
      <c r="H360" s="1221" t="str">
        <f>IF(基本情報入力シート!Q128="", "",基本情報入力シート!Q128)</f>
        <v/>
      </c>
      <c r="I360" s="1221" t="str">
        <f>IF(基本情報入力シート!V128="", "",基本情報入力シート!V128)</f>
        <v/>
      </c>
      <c r="J360" s="1221" t="str">
        <f>IF(基本情報入力シート!W128="", "",基本情報入力シート!W128)</f>
        <v/>
      </c>
      <c r="K360" s="1221" t="str">
        <f>IF(基本情報入力シート!X128="", "",基本情報入力シート!X128)</f>
        <v/>
      </c>
      <c r="L360" s="1222" t="str">
        <f>IF(基本情報入力シート!AC128=0, "",基本情報入力シート!AC128)</f>
        <v/>
      </c>
      <c r="M360" s="1215" t="str">
        <f>IF(基本情報入力シート!AD128="", "",基本情報入力シート!AD128)</f>
        <v/>
      </c>
      <c r="N360" s="1103"/>
      <c r="O360" s="1106" t="str">
        <f>IFERROR(VLOOKUP(K360,【参考】数式用２!$A$2:$AD$48,MATCH(N360,【参考】数式用２!$C$4:$AD$4,0)+2,0),"")</f>
        <v/>
      </c>
      <c r="P360" s="1055"/>
      <c r="Q360" s="1068" t="str">
        <f>IFERROR(VLOOKUP(K360,【参考】数式用２!$A$2:$AC$48,MATCH(P360,【参考】数式用２!$C$4:$AC$4,0)+2,0),"")</f>
        <v/>
      </c>
      <c r="R360" s="1071" t="s">
        <v>388</v>
      </c>
      <c r="S360" s="1059"/>
      <c r="T360" s="1062" t="s">
        <v>477</v>
      </c>
      <c r="U360" s="1059"/>
      <c r="V360" s="1062" t="s">
        <v>478</v>
      </c>
      <c r="W360" s="1059"/>
      <c r="X360" s="1062" t="s">
        <v>477</v>
      </c>
      <c r="Y360" s="1059"/>
      <c r="Z360" s="1062" t="s">
        <v>479</v>
      </c>
      <c r="AA360" s="1062" t="s">
        <v>291</v>
      </c>
      <c r="AB360" s="1062" t="str">
        <f>IF(S360&gt;=1,(W360*12+Y360)-(S360*12+U360)+1,"")</f>
        <v/>
      </c>
      <c r="AC360" s="1086" t="s">
        <v>480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0"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IF(基本情報入力シート!B129="", "",基本情報入力シート!B129)</f>
        <v/>
      </c>
      <c r="C364" s="1219"/>
      <c r="D364" s="1219"/>
      <c r="E364" s="1219"/>
      <c r="F364" s="1220"/>
      <c r="G364" s="1221" t="str">
        <f>IF(基本情報入力シート!L129="", "",基本情報入力シート!L129)</f>
        <v/>
      </c>
      <c r="H364" s="1221" t="str">
        <f>IF(基本情報入力シート!Q129="", "",基本情報入力シート!Q129)</f>
        <v/>
      </c>
      <c r="I364" s="1221" t="str">
        <f>IF(基本情報入力シート!V129="", "",基本情報入力シート!V129)</f>
        <v/>
      </c>
      <c r="J364" s="1221" t="str">
        <f>IF(基本情報入力シート!W129="", "",基本情報入力シート!W129)</f>
        <v/>
      </c>
      <c r="K364" s="1221" t="str">
        <f>IF(基本情報入力シート!X129="", "",基本情報入力シート!X129)</f>
        <v/>
      </c>
      <c r="L364" s="1222" t="str">
        <f>IF(基本情報入力シート!AC129=0, "",基本情報入力シート!AC129)</f>
        <v/>
      </c>
      <c r="M364" s="1215" t="str">
        <f>IF(基本情報入力シート!AD129="", "",基本情報入力シート!AD129)</f>
        <v/>
      </c>
      <c r="N364" s="1103"/>
      <c r="O364" s="1106" t="str">
        <f>IFERROR(VLOOKUP(K364,【参考】数式用２!$A$2:$AD$48,MATCH(N364,【参考】数式用２!$C$4:$AD$4,0)+2,0),"")</f>
        <v/>
      </c>
      <c r="P364" s="1055"/>
      <c r="Q364" s="1068" t="str">
        <f>IFERROR(VLOOKUP(K364,【参考】数式用２!$A$2:$AC$48,MATCH(P364,【参考】数式用２!$C$4:$AC$4,0)+2,0),"")</f>
        <v/>
      </c>
      <c r="R364" s="1071" t="s">
        <v>388</v>
      </c>
      <c r="S364" s="1059"/>
      <c r="T364" s="1062" t="s">
        <v>477</v>
      </c>
      <c r="U364" s="1059"/>
      <c r="V364" s="1062" t="s">
        <v>478</v>
      </c>
      <c r="W364" s="1059"/>
      <c r="X364" s="1062" t="s">
        <v>477</v>
      </c>
      <c r="Y364" s="1059"/>
      <c r="Z364" s="1062" t="s">
        <v>479</v>
      </c>
      <c r="AA364" s="1062" t="s">
        <v>291</v>
      </c>
      <c r="AB364" s="1062" t="str">
        <f>IF(S364&gt;=1,(W364*12+Y364)-(S364*12+U364)+1,"")</f>
        <v/>
      </c>
      <c r="AC364" s="1086" t="s">
        <v>480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0"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IF(基本情報入力シート!B130="", "",基本情報入力シート!B130)</f>
        <v/>
      </c>
      <c r="C368" s="1219"/>
      <c r="D368" s="1219"/>
      <c r="E368" s="1219"/>
      <c r="F368" s="1220"/>
      <c r="G368" s="1221" t="str">
        <f>IF(基本情報入力シート!L130="", "",基本情報入力シート!L130)</f>
        <v/>
      </c>
      <c r="H368" s="1221" t="str">
        <f>IF(基本情報入力シート!Q130="", "",基本情報入力シート!Q130)</f>
        <v/>
      </c>
      <c r="I368" s="1221" t="str">
        <f>IF(基本情報入力シート!V130="", "",基本情報入力シート!V130)</f>
        <v/>
      </c>
      <c r="J368" s="1221" t="str">
        <f>IF(基本情報入力シート!W130="", "",基本情報入力シート!W130)</f>
        <v/>
      </c>
      <c r="K368" s="1221" t="str">
        <f>IF(基本情報入力シート!X130="", "",基本情報入力シート!X130)</f>
        <v/>
      </c>
      <c r="L368" s="1222" t="str">
        <f>IF(基本情報入力シート!AC130=0, "",基本情報入力シート!AC130)</f>
        <v/>
      </c>
      <c r="M368" s="1215" t="str">
        <f>IF(基本情報入力シート!AD130="", "",基本情報入力シート!AD130)</f>
        <v/>
      </c>
      <c r="N368" s="1103"/>
      <c r="O368" s="1106" t="str">
        <f>IFERROR(VLOOKUP(K368,【参考】数式用２!$A$2:$AD$48,MATCH(N368,【参考】数式用２!$C$4:$AD$4,0)+2,0),"")</f>
        <v/>
      </c>
      <c r="P368" s="1055"/>
      <c r="Q368" s="1068" t="str">
        <f>IFERROR(VLOOKUP(K368,【参考】数式用２!$A$2:$AC$48,MATCH(P368,【参考】数式用２!$C$4:$AC$4,0)+2,0),"")</f>
        <v/>
      </c>
      <c r="R368" s="1071" t="s">
        <v>388</v>
      </c>
      <c r="S368" s="1059"/>
      <c r="T368" s="1062" t="s">
        <v>477</v>
      </c>
      <c r="U368" s="1059"/>
      <c r="V368" s="1062" t="s">
        <v>478</v>
      </c>
      <c r="W368" s="1059"/>
      <c r="X368" s="1062" t="s">
        <v>477</v>
      </c>
      <c r="Y368" s="1059"/>
      <c r="Z368" s="1062" t="s">
        <v>479</v>
      </c>
      <c r="AA368" s="1062" t="s">
        <v>291</v>
      </c>
      <c r="AB368" s="1062" t="str">
        <f>IF(S368&gt;=1,(W368*12+Y368)-(S368*12+U368)+1,"")</f>
        <v/>
      </c>
      <c r="AC368" s="1086" t="s">
        <v>480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0"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IF(基本情報入力シート!B131="", "",基本情報入力シート!B131)</f>
        <v/>
      </c>
      <c r="C372" s="1219"/>
      <c r="D372" s="1219"/>
      <c r="E372" s="1219"/>
      <c r="F372" s="1220"/>
      <c r="G372" s="1221" t="str">
        <f>IF(基本情報入力シート!L131="", "",基本情報入力シート!L131)</f>
        <v/>
      </c>
      <c r="H372" s="1221" t="str">
        <f>IF(基本情報入力シート!Q131="", "",基本情報入力シート!Q131)</f>
        <v/>
      </c>
      <c r="I372" s="1221" t="str">
        <f>IF(基本情報入力シート!V131="", "",基本情報入力シート!V131)</f>
        <v/>
      </c>
      <c r="J372" s="1221" t="str">
        <f>IF(基本情報入力シート!W131="", "",基本情報入力シート!W131)</f>
        <v/>
      </c>
      <c r="K372" s="1221" t="str">
        <f>IF(基本情報入力シート!X131="", "",基本情報入力シート!X131)</f>
        <v/>
      </c>
      <c r="L372" s="1222" t="str">
        <f>IF(基本情報入力シート!AC131=0, "",基本情報入力シート!AC131)</f>
        <v/>
      </c>
      <c r="M372" s="1215" t="str">
        <f>IF(基本情報入力シート!AD131="", "",基本情報入力シート!AD131)</f>
        <v/>
      </c>
      <c r="N372" s="1103"/>
      <c r="O372" s="1106" t="str">
        <f>IFERROR(VLOOKUP(K372,【参考】数式用２!$A$2:$AD$48,MATCH(N372,【参考】数式用２!$C$4:$AD$4,0)+2,0),"")</f>
        <v/>
      </c>
      <c r="P372" s="1055"/>
      <c r="Q372" s="1068" t="str">
        <f>IFERROR(VLOOKUP(K372,【参考】数式用２!$A$2:$AC$48,MATCH(P372,【参考】数式用２!$C$4:$AC$4,0)+2,0),"")</f>
        <v/>
      </c>
      <c r="R372" s="1071" t="s">
        <v>388</v>
      </c>
      <c r="S372" s="1059"/>
      <c r="T372" s="1062" t="s">
        <v>477</v>
      </c>
      <c r="U372" s="1059"/>
      <c r="V372" s="1062" t="s">
        <v>478</v>
      </c>
      <c r="W372" s="1059"/>
      <c r="X372" s="1062" t="s">
        <v>477</v>
      </c>
      <c r="Y372" s="1059"/>
      <c r="Z372" s="1062" t="s">
        <v>479</v>
      </c>
      <c r="AA372" s="1062" t="s">
        <v>291</v>
      </c>
      <c r="AB372" s="1062" t="str">
        <f>IF(S372&gt;=1,(W372*12+Y372)-(S372*12+U372)+1,"")</f>
        <v/>
      </c>
      <c r="AC372" s="1086" t="s">
        <v>480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0"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IF(基本情報入力シート!B132="", "",基本情報入力シート!B132)</f>
        <v/>
      </c>
      <c r="C376" s="1219"/>
      <c r="D376" s="1219"/>
      <c r="E376" s="1219"/>
      <c r="F376" s="1220"/>
      <c r="G376" s="1221" t="str">
        <f>IF(基本情報入力シート!L132="", "",基本情報入力シート!L132)</f>
        <v/>
      </c>
      <c r="H376" s="1221" t="str">
        <f>IF(基本情報入力シート!Q132="", "",基本情報入力シート!Q132)</f>
        <v/>
      </c>
      <c r="I376" s="1221" t="str">
        <f>IF(基本情報入力シート!V132="", "",基本情報入力シート!V132)</f>
        <v/>
      </c>
      <c r="J376" s="1221" t="str">
        <f>IF(基本情報入力シート!W132="", "",基本情報入力シート!W132)</f>
        <v/>
      </c>
      <c r="K376" s="1221" t="str">
        <f>IF(基本情報入力シート!X132="", "",基本情報入力シート!X132)</f>
        <v/>
      </c>
      <c r="L376" s="1222" t="str">
        <f>IF(基本情報入力シート!AC132=0, "",基本情報入力シート!AC132)</f>
        <v/>
      </c>
      <c r="M376" s="1215" t="str">
        <f>IF(基本情報入力シート!AD132="", "",基本情報入力シート!AD132)</f>
        <v/>
      </c>
      <c r="N376" s="1103"/>
      <c r="O376" s="1106" t="str">
        <f>IFERROR(VLOOKUP(K376,【参考】数式用２!$A$2:$AD$48,MATCH(N376,【参考】数式用２!$C$4:$AD$4,0)+2,0),"")</f>
        <v/>
      </c>
      <c r="P376" s="1055"/>
      <c r="Q376" s="1068" t="str">
        <f>IFERROR(VLOOKUP(K376,【参考】数式用２!$A$2:$AC$48,MATCH(P376,【参考】数式用２!$C$4:$AC$4,0)+2,0),"")</f>
        <v/>
      </c>
      <c r="R376" s="1071" t="s">
        <v>388</v>
      </c>
      <c r="S376" s="1059"/>
      <c r="T376" s="1062" t="s">
        <v>477</v>
      </c>
      <c r="U376" s="1059"/>
      <c r="V376" s="1062" t="s">
        <v>478</v>
      </c>
      <c r="W376" s="1059"/>
      <c r="X376" s="1062" t="s">
        <v>477</v>
      </c>
      <c r="Y376" s="1059"/>
      <c r="Z376" s="1062" t="s">
        <v>479</v>
      </c>
      <c r="AA376" s="1062" t="s">
        <v>291</v>
      </c>
      <c r="AB376" s="1062" t="str">
        <f>IF(S376&gt;=1,(W376*12+Y376)-(S376*12+U376)+1,"")</f>
        <v/>
      </c>
      <c r="AC376" s="1086" t="s">
        <v>480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0"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IF(基本情報入力シート!B133="", "",基本情報入力シート!B133)</f>
        <v/>
      </c>
      <c r="C380" s="1219"/>
      <c r="D380" s="1219"/>
      <c r="E380" s="1219"/>
      <c r="F380" s="1220"/>
      <c r="G380" s="1221" t="str">
        <f>IF(基本情報入力シート!L133="", "",基本情報入力シート!L133)</f>
        <v/>
      </c>
      <c r="H380" s="1221" t="str">
        <f>IF(基本情報入力シート!Q133="", "",基本情報入力シート!Q133)</f>
        <v/>
      </c>
      <c r="I380" s="1221" t="str">
        <f>IF(基本情報入力シート!V133="", "",基本情報入力シート!V133)</f>
        <v/>
      </c>
      <c r="J380" s="1221" t="str">
        <f>IF(基本情報入力シート!W133="", "",基本情報入力シート!W133)</f>
        <v/>
      </c>
      <c r="K380" s="1221" t="str">
        <f>IF(基本情報入力シート!X133="", "",基本情報入力シート!X133)</f>
        <v/>
      </c>
      <c r="L380" s="1222" t="str">
        <f>IF(基本情報入力シート!AC133=0, "",基本情報入力シート!AC133)</f>
        <v/>
      </c>
      <c r="M380" s="1215" t="str">
        <f>IF(基本情報入力シート!AD133="", "",基本情報入力シート!AD133)</f>
        <v/>
      </c>
      <c r="N380" s="1103"/>
      <c r="O380" s="1106" t="str">
        <f>IFERROR(VLOOKUP(K380,【参考】数式用２!$A$2:$AD$48,MATCH(N380,【参考】数式用２!$C$4:$AD$4,0)+2,0),"")</f>
        <v/>
      </c>
      <c r="P380" s="1055"/>
      <c r="Q380" s="1068" t="str">
        <f>IFERROR(VLOOKUP(K380,【参考】数式用２!$A$2:$AC$48,MATCH(P380,【参考】数式用２!$C$4:$AC$4,0)+2,0),"")</f>
        <v/>
      </c>
      <c r="R380" s="1071" t="s">
        <v>388</v>
      </c>
      <c r="S380" s="1059"/>
      <c r="T380" s="1062" t="s">
        <v>477</v>
      </c>
      <c r="U380" s="1059"/>
      <c r="V380" s="1062" t="s">
        <v>478</v>
      </c>
      <c r="W380" s="1059"/>
      <c r="X380" s="1062" t="s">
        <v>477</v>
      </c>
      <c r="Y380" s="1059"/>
      <c r="Z380" s="1062" t="s">
        <v>479</v>
      </c>
      <c r="AA380" s="1062" t="s">
        <v>291</v>
      </c>
      <c r="AB380" s="1062" t="str">
        <f>IF(S380&gt;=1,(W380*12+Y380)-(S380*12+U380)+1,"")</f>
        <v/>
      </c>
      <c r="AC380" s="1086" t="s">
        <v>480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0"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IF(基本情報入力シート!B134="", "",基本情報入力シート!B134)</f>
        <v/>
      </c>
      <c r="C384" s="1219"/>
      <c r="D384" s="1219"/>
      <c r="E384" s="1219"/>
      <c r="F384" s="1220"/>
      <c r="G384" s="1221" t="str">
        <f>IF(基本情報入力シート!L134="", "",基本情報入力シート!L134)</f>
        <v/>
      </c>
      <c r="H384" s="1221" t="str">
        <f>IF(基本情報入力シート!Q134="", "",基本情報入力シート!Q134)</f>
        <v/>
      </c>
      <c r="I384" s="1221" t="str">
        <f>IF(基本情報入力シート!V134="", "",基本情報入力シート!V134)</f>
        <v/>
      </c>
      <c r="J384" s="1221" t="str">
        <f>IF(基本情報入力シート!W134="", "",基本情報入力シート!W134)</f>
        <v/>
      </c>
      <c r="K384" s="1221" t="str">
        <f>IF(基本情報入力シート!X134="", "",基本情報入力シート!X134)</f>
        <v/>
      </c>
      <c r="L384" s="1222" t="str">
        <f>IF(基本情報入力シート!AC134=0, "",基本情報入力シート!AC134)</f>
        <v/>
      </c>
      <c r="M384" s="1215" t="str">
        <f>IF(基本情報入力シート!AD134="", "",基本情報入力シート!AD134)</f>
        <v/>
      </c>
      <c r="N384" s="1103"/>
      <c r="O384" s="1106" t="str">
        <f>IFERROR(VLOOKUP(K384,【参考】数式用２!$A$2:$AD$48,MATCH(N384,【参考】数式用２!$C$4:$AD$4,0)+2,0),"")</f>
        <v/>
      </c>
      <c r="P384" s="1055"/>
      <c r="Q384" s="1068" t="str">
        <f>IFERROR(VLOOKUP(K384,【参考】数式用２!$A$2:$AC$48,MATCH(P384,【参考】数式用２!$C$4:$AC$4,0)+2,0),"")</f>
        <v/>
      </c>
      <c r="R384" s="1071" t="s">
        <v>388</v>
      </c>
      <c r="S384" s="1059"/>
      <c r="T384" s="1062" t="s">
        <v>477</v>
      </c>
      <c r="U384" s="1059"/>
      <c r="V384" s="1062" t="s">
        <v>478</v>
      </c>
      <c r="W384" s="1059"/>
      <c r="X384" s="1062" t="s">
        <v>477</v>
      </c>
      <c r="Y384" s="1059"/>
      <c r="Z384" s="1062" t="s">
        <v>479</v>
      </c>
      <c r="AA384" s="1062" t="s">
        <v>291</v>
      </c>
      <c r="AB384" s="1062" t="str">
        <f>IF(S384&gt;=1,(W384*12+Y384)-(S384*12+U384)+1,"")</f>
        <v/>
      </c>
      <c r="AC384" s="1086" t="s">
        <v>480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0"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IF(基本情報入力シート!B135="", "",基本情報入力シート!B135)</f>
        <v/>
      </c>
      <c r="C388" s="1219"/>
      <c r="D388" s="1219"/>
      <c r="E388" s="1219"/>
      <c r="F388" s="1220"/>
      <c r="G388" s="1221" t="str">
        <f>IF(基本情報入力シート!L135="", "",基本情報入力シート!L135)</f>
        <v/>
      </c>
      <c r="H388" s="1221" t="str">
        <f>IF(基本情報入力シート!Q135="", "",基本情報入力シート!Q135)</f>
        <v/>
      </c>
      <c r="I388" s="1221" t="str">
        <f>IF(基本情報入力シート!V135="", "",基本情報入力シート!V135)</f>
        <v/>
      </c>
      <c r="J388" s="1221" t="str">
        <f>IF(基本情報入力シート!W135="", "",基本情報入力シート!W135)</f>
        <v/>
      </c>
      <c r="K388" s="1221" t="str">
        <f>IF(基本情報入力シート!X135="", "",基本情報入力シート!X135)</f>
        <v/>
      </c>
      <c r="L388" s="1222" t="str">
        <f>IF(基本情報入力シート!AC135=0, "",基本情報入力シート!AC135)</f>
        <v/>
      </c>
      <c r="M388" s="1215" t="str">
        <f>IF(基本情報入力シート!AD135="", "",基本情報入力シート!AD135)</f>
        <v/>
      </c>
      <c r="N388" s="1103"/>
      <c r="O388" s="1106" t="str">
        <f>IFERROR(VLOOKUP(K388,【参考】数式用２!$A$2:$AD$48,MATCH(N388,【参考】数式用２!$C$4:$AD$4,0)+2,0),"")</f>
        <v/>
      </c>
      <c r="P388" s="1055"/>
      <c r="Q388" s="1068" t="str">
        <f>IFERROR(VLOOKUP(K388,【参考】数式用２!$A$2:$AC$48,MATCH(P388,【参考】数式用２!$C$4:$AC$4,0)+2,0),"")</f>
        <v/>
      </c>
      <c r="R388" s="1071" t="s">
        <v>388</v>
      </c>
      <c r="S388" s="1059"/>
      <c r="T388" s="1062" t="s">
        <v>477</v>
      </c>
      <c r="U388" s="1059"/>
      <c r="V388" s="1062" t="s">
        <v>478</v>
      </c>
      <c r="W388" s="1059"/>
      <c r="X388" s="1062" t="s">
        <v>477</v>
      </c>
      <c r="Y388" s="1059"/>
      <c r="Z388" s="1062" t="s">
        <v>479</v>
      </c>
      <c r="AA388" s="1062" t="s">
        <v>291</v>
      </c>
      <c r="AB388" s="1062" t="str">
        <f>IF(S388&gt;=1,(W388*12+Y388)-(S388*12+U388)+1,"")</f>
        <v/>
      </c>
      <c r="AC388" s="1086" t="s">
        <v>480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0"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IF(基本情報入力シート!B136="", "",基本情報入力シート!B136)</f>
        <v/>
      </c>
      <c r="C392" s="1219"/>
      <c r="D392" s="1219"/>
      <c r="E392" s="1219"/>
      <c r="F392" s="1220"/>
      <c r="G392" s="1221" t="str">
        <f>IF(基本情報入力シート!L136="", "",基本情報入力シート!L136)</f>
        <v/>
      </c>
      <c r="H392" s="1221" t="str">
        <f>IF(基本情報入力シート!Q136="", "",基本情報入力シート!Q136)</f>
        <v/>
      </c>
      <c r="I392" s="1221" t="str">
        <f>IF(基本情報入力シート!V136="", "",基本情報入力シート!V136)</f>
        <v/>
      </c>
      <c r="J392" s="1221" t="str">
        <f>IF(基本情報入力シート!W136="", "",基本情報入力シート!W136)</f>
        <v/>
      </c>
      <c r="K392" s="1221" t="str">
        <f>IF(基本情報入力シート!X136="", "",基本情報入力シート!X136)</f>
        <v/>
      </c>
      <c r="L392" s="1222" t="str">
        <f>IF(基本情報入力シート!AC136=0, "",基本情報入力シート!AC136)</f>
        <v/>
      </c>
      <c r="M392" s="1215" t="str">
        <f>IF(基本情報入力シート!AD136="", "",基本情報入力シート!AD136)</f>
        <v/>
      </c>
      <c r="N392" s="1103"/>
      <c r="O392" s="1106" t="str">
        <f>IFERROR(VLOOKUP(K392,【参考】数式用２!$A$2:$AD$48,MATCH(N392,【参考】数式用２!$C$4:$AD$4,0)+2,0),"")</f>
        <v/>
      </c>
      <c r="P392" s="1055"/>
      <c r="Q392" s="1068" t="str">
        <f>IFERROR(VLOOKUP(K392,【参考】数式用２!$A$2:$AC$48,MATCH(P392,【参考】数式用２!$C$4:$AC$4,0)+2,0),"")</f>
        <v/>
      </c>
      <c r="R392" s="1071" t="s">
        <v>388</v>
      </c>
      <c r="S392" s="1059"/>
      <c r="T392" s="1062" t="s">
        <v>477</v>
      </c>
      <c r="U392" s="1059"/>
      <c r="V392" s="1062" t="s">
        <v>478</v>
      </c>
      <c r="W392" s="1059"/>
      <c r="X392" s="1062" t="s">
        <v>477</v>
      </c>
      <c r="Y392" s="1059"/>
      <c r="Z392" s="1062" t="s">
        <v>479</v>
      </c>
      <c r="AA392" s="1062" t="s">
        <v>291</v>
      </c>
      <c r="AB392" s="1062" t="str">
        <f>IF(S392&gt;=1,(W392*12+Y392)-(S392*12+U392)+1,"")</f>
        <v/>
      </c>
      <c r="AC392" s="1086" t="s">
        <v>480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0"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IF(基本情報入力シート!B137="", "",基本情報入力シート!B137)</f>
        <v/>
      </c>
      <c r="C396" s="1219"/>
      <c r="D396" s="1219"/>
      <c r="E396" s="1219"/>
      <c r="F396" s="1220"/>
      <c r="G396" s="1221" t="str">
        <f>IF(基本情報入力シート!L137="", "",基本情報入力シート!L137)</f>
        <v/>
      </c>
      <c r="H396" s="1221" t="str">
        <f>IF(基本情報入力シート!Q137="", "",基本情報入力シート!Q137)</f>
        <v/>
      </c>
      <c r="I396" s="1221" t="str">
        <f>IF(基本情報入力シート!V137="", "",基本情報入力シート!V137)</f>
        <v/>
      </c>
      <c r="J396" s="1221" t="str">
        <f>IF(基本情報入力シート!W137="", "",基本情報入力シート!W137)</f>
        <v/>
      </c>
      <c r="K396" s="1221" t="str">
        <f>IF(基本情報入力シート!X137="", "",基本情報入力シート!X137)</f>
        <v/>
      </c>
      <c r="L396" s="1222" t="str">
        <f>IF(基本情報入力シート!AC137=0, "",基本情報入力シート!AC137)</f>
        <v/>
      </c>
      <c r="M396" s="1215" t="str">
        <f>IF(基本情報入力シート!AD137="", "",基本情報入力シート!AD137)</f>
        <v/>
      </c>
      <c r="N396" s="1103"/>
      <c r="O396" s="1106" t="str">
        <f>IFERROR(VLOOKUP(K396,【参考】数式用２!$A$2:$AD$48,MATCH(N396,【参考】数式用２!$C$4:$AD$4,0)+2,0),"")</f>
        <v/>
      </c>
      <c r="P396" s="1055"/>
      <c r="Q396" s="1068" t="str">
        <f>IFERROR(VLOOKUP(K396,【参考】数式用２!$A$2:$AC$48,MATCH(P396,【参考】数式用２!$C$4:$AC$4,0)+2,0),"")</f>
        <v/>
      </c>
      <c r="R396" s="1071" t="s">
        <v>388</v>
      </c>
      <c r="S396" s="1059"/>
      <c r="T396" s="1062" t="s">
        <v>477</v>
      </c>
      <c r="U396" s="1059"/>
      <c r="V396" s="1062" t="s">
        <v>478</v>
      </c>
      <c r="W396" s="1059"/>
      <c r="X396" s="1062" t="s">
        <v>477</v>
      </c>
      <c r="Y396" s="1059"/>
      <c r="Z396" s="1062" t="s">
        <v>479</v>
      </c>
      <c r="AA396" s="1062" t="s">
        <v>291</v>
      </c>
      <c r="AB396" s="1062" t="str">
        <f>IF(S396&gt;=1,(W396*12+Y396)-(S396*12+U396)+1,"")</f>
        <v/>
      </c>
      <c r="AC396" s="1086" t="s">
        <v>480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0"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IF(基本情報入力シート!B138="", "",基本情報入力シート!B138)</f>
        <v/>
      </c>
      <c r="C400" s="1219"/>
      <c r="D400" s="1219"/>
      <c r="E400" s="1219"/>
      <c r="F400" s="1220"/>
      <c r="G400" s="1221" t="str">
        <f>IF(基本情報入力シート!L138="", "",基本情報入力シート!L138)</f>
        <v/>
      </c>
      <c r="H400" s="1221" t="str">
        <f>IF(基本情報入力シート!Q138="", "",基本情報入力シート!Q138)</f>
        <v/>
      </c>
      <c r="I400" s="1221" t="str">
        <f>IF(基本情報入力シート!V138="", "",基本情報入力シート!V138)</f>
        <v/>
      </c>
      <c r="J400" s="1221" t="str">
        <f>IF(基本情報入力シート!W138="", "",基本情報入力シート!W138)</f>
        <v/>
      </c>
      <c r="K400" s="1221" t="str">
        <f>IF(基本情報入力シート!X138="", "",基本情報入力シート!X138)</f>
        <v/>
      </c>
      <c r="L400" s="1222" t="str">
        <f>IF(基本情報入力シート!AC138=0, "",基本情報入力シート!AC138)</f>
        <v/>
      </c>
      <c r="M400" s="1215" t="str">
        <f>IF(基本情報入力シート!AD138="", "",基本情報入力シート!AD138)</f>
        <v/>
      </c>
      <c r="N400" s="1103"/>
      <c r="O400" s="1106" t="str">
        <f>IFERROR(VLOOKUP(K400,【参考】数式用２!$A$2:$AD$48,MATCH(N400,【参考】数式用２!$C$4:$AD$4,0)+2,0),"")</f>
        <v/>
      </c>
      <c r="P400" s="1055"/>
      <c r="Q400" s="1068" t="str">
        <f>IFERROR(VLOOKUP(K400,【参考】数式用２!$A$2:$AC$48,MATCH(P400,【参考】数式用２!$C$4:$AC$4,0)+2,0),"")</f>
        <v/>
      </c>
      <c r="R400" s="1071" t="s">
        <v>388</v>
      </c>
      <c r="S400" s="1059"/>
      <c r="T400" s="1062" t="s">
        <v>477</v>
      </c>
      <c r="U400" s="1059"/>
      <c r="V400" s="1062" t="s">
        <v>478</v>
      </c>
      <c r="W400" s="1059"/>
      <c r="X400" s="1062" t="s">
        <v>477</v>
      </c>
      <c r="Y400" s="1059"/>
      <c r="Z400" s="1062" t="s">
        <v>479</v>
      </c>
      <c r="AA400" s="1062" t="s">
        <v>291</v>
      </c>
      <c r="AB400" s="1062" t="str">
        <f>IF(S400&gt;=1,(W400*12+Y400)-(S400*12+U400)+1,"")</f>
        <v/>
      </c>
      <c r="AC400" s="1086" t="s">
        <v>480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0"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IF(基本情報入力シート!B139="", "",基本情報入力シート!B139)</f>
        <v/>
      </c>
      <c r="C404" s="1219"/>
      <c r="D404" s="1219"/>
      <c r="E404" s="1219"/>
      <c r="F404" s="1220"/>
      <c r="G404" s="1221" t="str">
        <f>IF(基本情報入力シート!L139="", "",基本情報入力シート!L139)</f>
        <v/>
      </c>
      <c r="H404" s="1221" t="str">
        <f>IF(基本情報入力シート!Q139="", "",基本情報入力シート!Q139)</f>
        <v/>
      </c>
      <c r="I404" s="1221" t="str">
        <f>IF(基本情報入力シート!V139="", "",基本情報入力シート!V139)</f>
        <v/>
      </c>
      <c r="J404" s="1221" t="str">
        <f>IF(基本情報入力シート!W139="", "",基本情報入力シート!W139)</f>
        <v/>
      </c>
      <c r="K404" s="1221" t="str">
        <f>IF(基本情報入力シート!X139="", "",基本情報入力シート!X139)</f>
        <v/>
      </c>
      <c r="L404" s="1222" t="str">
        <f>IF(基本情報入力シート!AC139=0, "",基本情報入力シート!AC139)</f>
        <v/>
      </c>
      <c r="M404" s="1215" t="str">
        <f>IF(基本情報入力シート!AD139="", "",基本情報入力シート!AD139)</f>
        <v/>
      </c>
      <c r="N404" s="1103"/>
      <c r="O404" s="1106" t="str">
        <f>IFERROR(VLOOKUP(K404,【参考】数式用２!$A$2:$AD$48,MATCH(N404,【参考】数式用２!$C$4:$AD$4,0)+2,0),"")</f>
        <v/>
      </c>
      <c r="P404" s="1055"/>
      <c r="Q404" s="1068" t="str">
        <f>IFERROR(VLOOKUP(K404,【参考】数式用２!$A$2:$AC$48,MATCH(P404,【参考】数式用２!$C$4:$AC$4,0)+2,0),"")</f>
        <v/>
      </c>
      <c r="R404" s="1071" t="s">
        <v>388</v>
      </c>
      <c r="S404" s="1059"/>
      <c r="T404" s="1062" t="s">
        <v>477</v>
      </c>
      <c r="U404" s="1059"/>
      <c r="V404" s="1062" t="s">
        <v>478</v>
      </c>
      <c r="W404" s="1059"/>
      <c r="X404" s="1062" t="s">
        <v>477</v>
      </c>
      <c r="Y404" s="1059"/>
      <c r="Z404" s="1062" t="s">
        <v>479</v>
      </c>
      <c r="AA404" s="1062" t="s">
        <v>291</v>
      </c>
      <c r="AB404" s="1062" t="str">
        <f>IF(S404&gt;=1,(W404*12+Y404)-(S404*12+U404)+1,"")</f>
        <v/>
      </c>
      <c r="AC404" s="1086" t="s">
        <v>480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0"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IF(基本情報入力シート!B140="", "",基本情報入力シート!B140)</f>
        <v/>
      </c>
      <c r="C408" s="1219"/>
      <c r="D408" s="1219"/>
      <c r="E408" s="1219"/>
      <c r="F408" s="1220"/>
      <c r="G408" s="1221" t="str">
        <f>IF(基本情報入力シート!L140="", "",基本情報入力シート!L140)</f>
        <v/>
      </c>
      <c r="H408" s="1221" t="str">
        <f>IF(基本情報入力シート!Q140="", "",基本情報入力シート!Q140)</f>
        <v/>
      </c>
      <c r="I408" s="1221" t="str">
        <f>IF(基本情報入力シート!V140="", "",基本情報入力シート!V140)</f>
        <v/>
      </c>
      <c r="J408" s="1221" t="str">
        <f>IF(基本情報入力シート!W140="", "",基本情報入力シート!W140)</f>
        <v/>
      </c>
      <c r="K408" s="1221" t="str">
        <f>IF(基本情報入力シート!X140="", "",基本情報入力シート!X140)</f>
        <v/>
      </c>
      <c r="L408" s="1222" t="str">
        <f>IF(基本情報入力シート!AC140=0, "",基本情報入力シート!AC140)</f>
        <v/>
      </c>
      <c r="M408" s="1215" t="str">
        <f>IF(基本情報入力シート!AD140="", "",基本情報入力シート!AD140)</f>
        <v/>
      </c>
      <c r="N408" s="1103"/>
      <c r="O408" s="1106" t="str">
        <f>IFERROR(VLOOKUP(K408,【参考】数式用２!$A$2:$AD$48,MATCH(N408,【参考】数式用２!$C$4:$AD$4,0)+2,0),"")</f>
        <v/>
      </c>
      <c r="P408" s="1055"/>
      <c r="Q408" s="1068" t="str">
        <f>IFERROR(VLOOKUP(K408,【参考】数式用２!$A$2:$AC$48,MATCH(P408,【参考】数式用２!$C$4:$AC$4,0)+2,0),"")</f>
        <v/>
      </c>
      <c r="R408" s="1071" t="s">
        <v>388</v>
      </c>
      <c r="S408" s="1059"/>
      <c r="T408" s="1062" t="s">
        <v>477</v>
      </c>
      <c r="U408" s="1059"/>
      <c r="V408" s="1062" t="s">
        <v>478</v>
      </c>
      <c r="W408" s="1059"/>
      <c r="X408" s="1062" t="s">
        <v>477</v>
      </c>
      <c r="Y408" s="1059"/>
      <c r="Z408" s="1062" t="s">
        <v>479</v>
      </c>
      <c r="AA408" s="1062" t="s">
        <v>291</v>
      </c>
      <c r="AB408" s="1062" t="str">
        <f>IF(S408&gt;=1,(W408*12+Y408)-(S408*12+U408)+1,"")</f>
        <v/>
      </c>
      <c r="AC408" s="1086" t="s">
        <v>480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0"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5"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5"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5"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5"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5"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5"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5"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5"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3.453125" customWidth="1"/>
    <col min="34" max="34" width="4" customWidth="1"/>
    <col min="35" max="35" width="2" customWidth="1"/>
    <col min="36" max="36" width="2.453125" customWidth="1"/>
    <col min="37" max="37" width="6.453125" customWidth="1"/>
    <col min="38" max="43" width="9.08984375" customWidth="1"/>
    <col min="44" max="44" width="9.453125" bestFit="1" customWidth="1"/>
    <col min="47" max="47" width="4.5429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254</v>
      </c>
      <c r="AC1" s="937"/>
      <c r="AD1" s="937"/>
      <c r="AE1" s="936" t="str">
        <f>IF(基本情報入力シート!AA16&lt;&gt;"", 基本情報入力シート!AA16, "")</f>
        <v>東京都</v>
      </c>
      <c r="AF1" s="937"/>
      <c r="AG1" s="937"/>
      <c r="AH1" s="937"/>
      <c r="AI1" s="962"/>
      <c r="AJ1" s="61"/>
      <c r="AK1" s="152"/>
      <c r="AL1" s="153"/>
      <c r="AM1" s="153"/>
      <c r="AN1" s="153"/>
      <c r="AO1" s="688"/>
      <c r="AP1" s="153"/>
      <c r="AQ1" s="153"/>
      <c r="AR1" s="153"/>
      <c r="AS1" s="153"/>
      <c r="AT1" s="153"/>
      <c r="AU1" s="153"/>
      <c r="AV1" s="153"/>
      <c r="AW1" s="154"/>
      <c r="AX1" s="144"/>
      <c r="AY1" s="836" t="s">
        <v>255</v>
      </c>
      <c r="AZ1" s="836"/>
      <c r="BA1" s="836"/>
      <c r="BB1" s="836"/>
      <c r="BC1" s="836"/>
    </row>
    <row r="2" spans="1:55" ht="12.65" customHeight="1">
      <c r="A2" s="1309"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6"/>
      <c r="AO2" s="145"/>
      <c r="AP2" s="687"/>
      <c r="AQ2" s="156"/>
      <c r="AR2" s="156"/>
      <c r="AS2" s="156"/>
      <c r="AT2" s="156"/>
      <c r="AU2" s="156"/>
      <c r="AV2" s="156"/>
      <c r="AW2" s="157"/>
      <c r="AY2" s="836" t="str">
        <f>IF(基本情報入力シート!V14="", "", 基本情報入力シート!V14)</f>
        <v>加算様式を指定権者に提出</v>
      </c>
      <c r="AZ2" s="836"/>
      <c r="BA2" s="836"/>
      <c r="BB2" s="836"/>
      <c r="BC2" s="836"/>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6"/>
      <c r="AZ3" s="836"/>
      <c r="BA3" s="836"/>
      <c r="BB3" s="836"/>
      <c r="BC3" s="836"/>
    </row>
    <row r="4" spans="1:55" s="29" customFormat="1" ht="13.5" customHeight="1">
      <c r="A4" s="1289" t="s">
        <v>16</v>
      </c>
      <c r="B4" s="1290"/>
      <c r="C4" s="1290"/>
      <c r="D4" s="1290"/>
      <c r="E4" s="1290"/>
      <c r="F4" s="1291"/>
      <c r="G4" s="1278" t="str">
        <f>IF(基本情報入力シート!L21="","",基本情報入力シート!L21)</f>
        <v>○○ケアサービス</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258</v>
      </c>
      <c r="B5" s="1293"/>
      <c r="C5" s="1293"/>
      <c r="D5" s="1293"/>
      <c r="E5" s="1293"/>
      <c r="F5" s="1294"/>
      <c r="G5" s="1280" t="str">
        <f>IF(基本情報入力シート!L22="","",基本情報入力シート!L22)</f>
        <v>○○ケアサービス</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259</v>
      </c>
      <c r="B6" s="1012"/>
      <c r="C6" s="1012"/>
      <c r="D6" s="1012"/>
      <c r="E6" s="1012"/>
      <c r="F6" s="1273"/>
      <c r="G6" s="110" t="s">
        <v>20</v>
      </c>
      <c r="H6" s="1274" t="str">
        <f>IF(基本情報入力シート!AM24="－","",基本情報入力シート!AM24)</f>
        <v>100-0005</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IF(基本情報入力シート!L24="","",基本情報入力シート!L24)</f>
        <v>東京都千代田区１－１－１</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IF(基本情報入力シート!L25="","",基本情報入力シート!L25)</f>
        <v>○○ビル○○号室</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16</v>
      </c>
      <c r="B9" s="1276"/>
      <c r="C9" s="1276"/>
      <c r="D9" s="1276"/>
      <c r="E9" s="1276"/>
      <c r="F9" s="1277"/>
      <c r="G9" s="1322" t="str">
        <f>IF(基本情報入力シート!L29="","",基本情報入力シート!L29)</f>
        <v>コウロウ タロウ</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260</v>
      </c>
      <c r="B10" s="1270"/>
      <c r="C10" s="1270"/>
      <c r="D10" s="1270"/>
      <c r="E10" s="1270"/>
      <c r="F10" s="1271"/>
      <c r="G10" s="1324" t="str">
        <f>IF(基本情報入力シート!L30="","",基本情報入力シート!L30)</f>
        <v>厚労 太郎</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261</v>
      </c>
      <c r="B11" s="1272"/>
      <c r="C11" s="1272"/>
      <c r="D11" s="1272"/>
      <c r="E11" s="1272"/>
      <c r="F11" s="1272"/>
      <c r="G11" s="878" t="s">
        <v>39</v>
      </c>
      <c r="H11" s="879"/>
      <c r="I11" s="879"/>
      <c r="J11" s="879"/>
      <c r="K11" s="1295" t="str">
        <f>IF(基本情報入力シート!L31="","",基本情報入力シート!L31)</f>
        <v>000-0000-0000</v>
      </c>
      <c r="L11" s="1296"/>
      <c r="M11" s="1296"/>
      <c r="N11" s="1296"/>
      <c r="O11" s="1296"/>
      <c r="P11" s="1296"/>
      <c r="Q11" s="1296"/>
      <c r="R11" s="1296"/>
      <c r="S11" s="1296"/>
      <c r="T11" s="1297"/>
      <c r="U11" s="1286" t="s">
        <v>41</v>
      </c>
      <c r="V11" s="1287"/>
      <c r="W11" s="1287"/>
      <c r="X11" s="1288"/>
      <c r="Y11" s="1295" t="str">
        <f>IF(基本情報入力シート!L33="","",基本情報入力シート!L33)</f>
        <v>aaa@aaa,com</v>
      </c>
      <c r="Z11" s="1296"/>
      <c r="AA11" s="1296"/>
      <c r="AB11" s="1296"/>
      <c r="AC11" s="1296"/>
      <c r="AD11" s="1296"/>
      <c r="AE11" s="1296"/>
      <c r="AF11" s="1296"/>
      <c r="AG11" s="1296"/>
      <c r="AH11" s="1296"/>
      <c r="AI11" s="1296"/>
      <c r="AJ11" s="103"/>
      <c r="AT11" s="30"/>
      <c r="AU11" s="30"/>
    </row>
    <row r="12" spans="1:55" s="29" customFormat="1" ht="7.2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v>
      </c>
      <c r="AI13" s="1304"/>
      <c r="AK13" s="1316" t="s">
        <v>507</v>
      </c>
      <c r="AL13" s="1317"/>
      <c r="AM13" s="1317"/>
      <c r="AN13" s="1317"/>
      <c r="AO13" s="1317"/>
      <c r="AP13" s="1317"/>
      <c r="AQ13" s="1317"/>
      <c r="AR13" s="1317"/>
      <c r="AS13" s="1317"/>
      <c r="AT13" s="1317"/>
      <c r="AU13" s="1317"/>
      <c r="AV13" s="1318"/>
    </row>
    <row r="14" spans="1:55" ht="27.65" customHeight="1" thickBot="1">
      <c r="A14" s="1253" t="s">
        <v>508</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20" customHeight="1">
      <c r="A15" s="148" t="s">
        <v>509</v>
      </c>
      <c r="B15" s="1259" t="s">
        <v>510</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20" customHeight="1">
      <c r="A16" s="146" t="s">
        <v>509</v>
      </c>
      <c r="B16" s="1254" t="s">
        <v>511</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20" customHeight="1" thickBot="1">
      <c r="A17" s="147"/>
      <c r="B17" s="1254" t="s">
        <v>512</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5" customHeight="1" thickBot="1">
      <c r="A18" s="1263" t="s">
        <v>513</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20" customHeight="1">
      <c r="A19" s="148" t="s">
        <v>509</v>
      </c>
      <c r="B19" s="1254" t="s">
        <v>514</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20" customHeight="1" thickBot="1">
      <c r="A20" s="147" t="s">
        <v>509</v>
      </c>
      <c r="B20" s="742" t="s">
        <v>515</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516</v>
      </c>
      <c r="B21" s="1315"/>
      <c r="C21" s="1315"/>
      <c r="D21" s="1315"/>
      <c r="E21" s="1315"/>
      <c r="F21" s="1315"/>
      <c r="G21" s="1315"/>
      <c r="H21" s="1315"/>
      <c r="I21" s="1315"/>
      <c r="J21" s="1315"/>
      <c r="K21" s="1315"/>
      <c r="L21" s="1315"/>
      <c r="M21" s="1319" t="s">
        <v>517</v>
      </c>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5" customHeight="1">
      <c r="A22" s="908" t="s">
        <v>518</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5"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519</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368</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v>
      </c>
      <c r="AI25" s="1302"/>
      <c r="AJ25" s="41"/>
      <c r="AK25" s="1298" t="s">
        <v>520</v>
      </c>
      <c r="AL25" s="1299"/>
      <c r="AM25" s="1299"/>
      <c r="AN25" s="1299"/>
      <c r="AO25" s="1299"/>
      <c r="AP25" s="1299"/>
      <c r="AQ25" s="1299"/>
      <c r="AR25" s="1299"/>
      <c r="AS25" s="1299"/>
      <c r="AT25" s="1299"/>
      <c r="AU25" s="1299"/>
      <c r="AV25" s="1300"/>
    </row>
    <row r="26" spans="1:48" ht="14.25" customHeight="1" thickBot="1">
      <c r="A26" s="1311" t="s">
        <v>521</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522</v>
      </c>
      <c r="AB26" s="1238"/>
      <c r="AC26" s="1238"/>
      <c r="AD26" s="1238"/>
      <c r="AE26" s="1238"/>
      <c r="AF26" s="1238"/>
      <c r="AG26" s="1238"/>
      <c r="AH26" s="1239"/>
      <c r="AI26" s="1240"/>
      <c r="AJ26" s="61"/>
      <c r="AL26" s="32"/>
    </row>
    <row r="27" spans="1:48" ht="20" customHeight="1">
      <c r="A27" s="148" t="s">
        <v>509</v>
      </c>
      <c r="B27" s="822" t="s">
        <v>523</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378</v>
      </c>
      <c r="AB27" s="938"/>
      <c r="AC27" s="938"/>
      <c r="AD27" s="938"/>
      <c r="AE27" s="938"/>
      <c r="AF27" s="938"/>
      <c r="AG27" s="938"/>
      <c r="AH27" s="938"/>
      <c r="AI27" s="938"/>
      <c r="AJ27" s="68"/>
    </row>
    <row r="28" spans="1:48" ht="30" customHeight="1">
      <c r="A28" s="146" t="s">
        <v>509</v>
      </c>
      <c r="B28" s="822" t="s">
        <v>524</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525</v>
      </c>
      <c r="AB28" s="1258"/>
      <c r="AC28" s="1258"/>
      <c r="AD28" s="1258"/>
      <c r="AE28" s="1258"/>
      <c r="AF28" s="1258"/>
      <c r="AG28" s="1258"/>
      <c r="AH28" s="1258"/>
      <c r="AI28" s="1258"/>
      <c r="AJ28" s="68"/>
    </row>
    <row r="29" spans="1:48" ht="30" customHeight="1">
      <c r="A29" s="146" t="s">
        <v>509</v>
      </c>
      <c r="B29" s="1256" t="s">
        <v>526</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527</v>
      </c>
      <c r="AB29" s="1258"/>
      <c r="AC29" s="1258"/>
      <c r="AD29" s="1258"/>
      <c r="AE29" s="1258"/>
      <c r="AF29" s="1258"/>
      <c r="AG29" s="1258"/>
      <c r="AH29" s="1258"/>
      <c r="AI29" s="1258"/>
      <c r="AJ29" s="41"/>
    </row>
    <row r="30" spans="1:48" ht="30" customHeight="1">
      <c r="A30" s="146" t="s">
        <v>509</v>
      </c>
      <c r="B30" s="822" t="s">
        <v>377</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378</v>
      </c>
      <c r="AB30" s="938"/>
      <c r="AC30" s="938"/>
      <c r="AD30" s="938"/>
      <c r="AE30" s="938"/>
      <c r="AF30" s="938"/>
      <c r="AG30" s="938"/>
      <c r="AH30" s="938"/>
      <c r="AI30" s="938"/>
      <c r="AJ30" s="41"/>
      <c r="AK30" s="32"/>
    </row>
    <row r="31" spans="1:48" ht="30" customHeight="1">
      <c r="A31" s="146" t="s">
        <v>509</v>
      </c>
      <c r="B31" s="822" t="s">
        <v>379</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380</v>
      </c>
      <c r="AB31" s="1258"/>
      <c r="AC31" s="1258"/>
      <c r="AD31" s="1258"/>
      <c r="AE31" s="1258"/>
      <c r="AF31" s="1258"/>
      <c r="AG31" s="1258"/>
      <c r="AH31" s="1258"/>
      <c r="AI31" s="1258"/>
      <c r="AJ31" s="41"/>
      <c r="AK31" s="32"/>
      <c r="AL31" s="33"/>
    </row>
    <row r="32" spans="1:48" ht="20" customHeight="1">
      <c r="A32" s="146" t="s">
        <v>509</v>
      </c>
      <c r="B32" s="1256" t="s">
        <v>528</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382</v>
      </c>
      <c r="AB32" s="951"/>
      <c r="AC32" s="951"/>
      <c r="AD32" s="951"/>
      <c r="AE32" s="951"/>
      <c r="AF32" s="951"/>
      <c r="AG32" s="951"/>
      <c r="AH32" s="951"/>
      <c r="AI32" s="951"/>
      <c r="AJ32" s="41"/>
      <c r="AK32" s="32"/>
      <c r="AL32" s="33"/>
    </row>
    <row r="33" spans="1:52" ht="20" customHeight="1" thickBot="1">
      <c r="A33" s="149" t="s">
        <v>509</v>
      </c>
      <c r="B33" s="1254" t="s">
        <v>529</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378</v>
      </c>
      <c r="AB33" s="938"/>
      <c r="AC33" s="938"/>
      <c r="AD33" s="938"/>
      <c r="AE33" s="938"/>
      <c r="AF33" s="938"/>
      <c r="AG33" s="938"/>
      <c r="AH33" s="938"/>
      <c r="AI33" s="938"/>
      <c r="AJ33" s="41"/>
      <c r="AK33" s="32"/>
      <c r="AL33" s="33"/>
    </row>
    <row r="34" spans="1:52" s="61" customFormat="1" ht="10.2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6"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v>
      </c>
      <c r="AI35" s="1304"/>
      <c r="AJ35" s="37"/>
      <c r="AK35" s="845" t="s">
        <v>530</v>
      </c>
      <c r="AL35" s="846"/>
      <c r="AM35" s="846"/>
      <c r="AN35" s="846"/>
      <c r="AO35" s="846"/>
      <c r="AP35" s="846"/>
      <c r="AQ35" s="846"/>
      <c r="AR35" s="846"/>
      <c r="AS35" s="846"/>
      <c r="AT35" s="846"/>
      <c r="AU35" s="846"/>
      <c r="AV35" s="847"/>
      <c r="AW35" s="94"/>
    </row>
    <row r="36" spans="1:52" ht="10.2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5" customHeight="1" thickBot="1">
      <c r="A37" s="36"/>
      <c r="B37" s="150" t="s">
        <v>509</v>
      </c>
      <c r="C37" s="1241" t="s">
        <v>531</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5" customHeight="1" thickBot="1">
      <c r="A39" s="36"/>
      <c r="B39" s="1308" t="s">
        <v>532</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5" customHeight="1" thickBot="1">
      <c r="A40" s="36"/>
      <c r="B40" s="151" t="s">
        <v>509</v>
      </c>
      <c r="C40" s="1241" t="s">
        <v>533</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6" customHeight="1" thickBot="1">
      <c r="A41" s="36"/>
      <c r="B41" s="150"/>
      <c r="C41" s="1242" t="s">
        <v>534</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5"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1035">
        <v>7</v>
      </c>
      <c r="E43" s="1307"/>
      <c r="F43" s="46" t="s">
        <v>389</v>
      </c>
      <c r="G43" s="1305">
        <v>4</v>
      </c>
      <c r="H43" s="1306"/>
      <c r="I43" s="46" t="s">
        <v>390</v>
      </c>
      <c r="J43" s="1305">
        <v>1</v>
      </c>
      <c r="K43" s="1306"/>
      <c r="L43" s="46" t="s">
        <v>391</v>
      </c>
      <c r="M43" s="41"/>
      <c r="N43" s="1035" t="s">
        <v>258</v>
      </c>
      <c r="O43" s="1035"/>
      <c r="P43" s="1035"/>
      <c r="Q43" s="1246" t="str">
        <f>IF(G5="","",G5)</f>
        <v>○○ケアサービス</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392</v>
      </c>
      <c r="O44" s="907"/>
      <c r="P44" s="907"/>
      <c r="Q44" s="1027" t="s">
        <v>29</v>
      </c>
      <c r="R44" s="1027"/>
      <c r="S44" s="1236" t="str">
        <f>IF(基本情報入力シート!L26="", "", 基本情報入力シート!L26)</f>
        <v>代表取締役</v>
      </c>
      <c r="T44" s="1236"/>
      <c r="U44" s="1236"/>
      <c r="V44" s="1236"/>
      <c r="W44" s="1236"/>
      <c r="X44" s="904"/>
      <c r="Y44" s="904"/>
      <c r="Z44" s="1236" t="str">
        <f>IF(基本情報入力シート!L27="", "", 基本情報入力シート!L27)</f>
        <v>厚労 花子</v>
      </c>
      <c r="AA44" s="1236"/>
      <c r="AB44" s="1236"/>
      <c r="AC44" s="1236"/>
      <c r="AD44" s="1236"/>
      <c r="AE44" s="1236"/>
      <c r="AF44" s="1236"/>
      <c r="AG44" s="1236"/>
      <c r="AH44" s="1236"/>
      <c r="AI44" s="44"/>
      <c r="AJ44" s="37"/>
    </row>
    <row r="45" spans="1:52" s="33" customFormat="1" ht="10.2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535</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5"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538</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539</v>
      </c>
    </row>
    <row r="52" spans="1:53">
      <c r="A52" s="1328" t="s">
        <v>540</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〇</v>
      </c>
      <c r="AF52" s="1251"/>
      <c r="AG52" s="1251"/>
      <c r="AH52" s="1251"/>
      <c r="AI52" s="1251"/>
      <c r="AJ52" s="1251"/>
      <c r="BA52" s="94">
        <f>COUNTIF(A52:AJ58, "×")</f>
        <v>0</v>
      </c>
    </row>
    <row r="53" spans="1:53" ht="15" customHeight="1">
      <c r="A53" s="1243" t="s">
        <v>541</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542</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v>
      </c>
      <c r="AF54" s="1251"/>
      <c r="AG54" s="1251"/>
      <c r="AH54" s="1251"/>
      <c r="AI54" s="1251"/>
      <c r="AJ54" s="1251"/>
    </row>
    <row r="55" spans="1:53">
      <c r="A55" s="1249" t="s">
        <v>543</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v>
      </c>
      <c r="AF55" s="1251"/>
      <c r="AG55" s="1251"/>
      <c r="AH55" s="1251"/>
      <c r="AI55" s="1251"/>
      <c r="AJ55" s="1251"/>
    </row>
    <row r="56" spans="1:53" ht="15" customHeight="1">
      <c r="A56" s="1243" t="s">
        <v>544</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545</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v>
      </c>
      <c r="AF57" s="1251"/>
      <c r="AG57" s="1251"/>
      <c r="AH57" s="1251"/>
      <c r="AI57" s="1251"/>
      <c r="AJ57" s="1251"/>
      <c r="AR57" s="391"/>
    </row>
    <row r="58" spans="1:53">
      <c r="A58" s="1330" t="s">
        <v>546</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v>
      </c>
      <c r="AF58" s="1251"/>
      <c r="AG58" s="1251"/>
      <c r="AH58" s="1251"/>
      <c r="AI58" s="1251"/>
      <c r="AJ58" s="1251"/>
    </row>
    <row r="59" spans="1:53">
      <c r="A59" s="1249" t="s">
        <v>547</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5" customHeight="1">
      <c r="A61" s="1332" t="s">
        <v>548</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5" customHeight="1" thickBot="1">
      <c r="A63" s="1234" t="s">
        <v>61</v>
      </c>
      <c r="B63" s="1234"/>
      <c r="C63" s="1235" t="s">
        <v>550</v>
      </c>
      <c r="D63" s="1235"/>
      <c r="E63" s="1235"/>
      <c r="F63" s="1235"/>
      <c r="G63" s="1235"/>
      <c r="H63" s="1235" t="s">
        <v>551</v>
      </c>
      <c r="I63" s="1235"/>
      <c r="J63" s="1235"/>
      <c r="K63" s="1235"/>
      <c r="L63" s="1235"/>
      <c r="M63" s="1235"/>
      <c r="N63" s="1235"/>
      <c r="O63" s="1235"/>
      <c r="P63" s="1235"/>
      <c r="Q63" s="1235"/>
      <c r="R63" s="1235"/>
      <c r="S63" s="1235"/>
      <c r="T63" s="1231" t="s">
        <v>552</v>
      </c>
      <c r="U63" s="1232"/>
      <c r="V63" s="1232"/>
      <c r="W63" s="1232"/>
      <c r="X63" s="1232"/>
      <c r="Y63" s="1232"/>
      <c r="Z63" s="1232"/>
      <c r="AA63" s="1232"/>
      <c r="AB63" s="1232"/>
      <c r="AC63" s="1232"/>
      <c r="AD63" s="1232"/>
      <c r="AE63" s="1232"/>
      <c r="AF63" s="1232"/>
      <c r="AG63" s="1232"/>
      <c r="AH63" s="1232"/>
      <c r="AI63" s="1232"/>
      <c r="AJ63" s="1233"/>
      <c r="AK63" s="910" t="s">
        <v>553</v>
      </c>
      <c r="AL63" s="910"/>
      <c r="AM63" s="910"/>
      <c r="AN63" s="910"/>
      <c r="AO63" s="910"/>
      <c r="AP63" s="910"/>
      <c r="AQ63" s="910"/>
      <c r="AR63" s="910"/>
      <c r="AS63" s="910"/>
      <c r="AT63" s="910"/>
      <c r="AU63" s="910"/>
      <c r="AV63" s="911"/>
    </row>
    <row r="64" spans="1:53" ht="32" customHeight="1">
      <c r="A64" s="1248" t="str">
        <f>AE1</f>
        <v>東京都</v>
      </c>
      <c r="B64" s="1248"/>
      <c r="C64" s="1264">
        <f>IFERROR(SUMIF('別紙様式2-4（補助金 個表） '!$D$11:$D$110, '別紙様式2-3（補助金　総括表）'!A64, '別紙様式2-4（補助金 個表） '!$M$11:$M$110), "未入力あり")</f>
        <v>35248800</v>
      </c>
      <c r="D64" s="1264"/>
      <c r="E64" s="1264"/>
      <c r="F64" s="1264"/>
      <c r="G64" s="1264"/>
      <c r="H64" s="1265" t="str">
        <f>IF(C64&gt;0, IFERROR((VLOOKUP(A64&amp;"○"&amp;"○", '別紙様式2-4（補助金 個表） '!AI:AJ, 2, FALSE)), "振込先未選択"), "")</f>
        <v>××ホームヘルプ</v>
      </c>
      <c r="I64" s="1265"/>
      <c r="J64" s="1265"/>
      <c r="K64" s="1265"/>
      <c r="L64" s="1265"/>
      <c r="M64" s="1265"/>
      <c r="N64" s="1265"/>
      <c r="O64" s="1265"/>
      <c r="P64" s="1265"/>
      <c r="Q64" s="1265"/>
      <c r="R64" s="1265"/>
      <c r="S64" s="1265"/>
      <c r="T64" s="1231" t="str">
        <f>IFERROR(IF(H64="", "", VLOOKUP(H64, '別紙様式2-4（補助金 個表） '!$F$11:$S$110, 14, FALSE)), "未記入")</f>
        <v>債権譲渡をしていない</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5" customHeight="1"/>
    <row r="67" spans="1:36" ht="24.65" customHeight="1"/>
    <row r="68" spans="1:36" ht="61.25" customHeight="1"/>
    <row r="69" spans="1:36" s="55" customFormat="1" ht="29.4" customHeight="1"/>
    <row r="70" spans="1:36" ht="14" customHeight="1"/>
    <row r="71" spans="1:36" ht="14" customHeight="1"/>
    <row r="72" spans="1:36" ht="14"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4"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4"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4"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4"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4"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4"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4"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4"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4"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4"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4"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4"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4"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4"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4"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4"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4"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4"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4"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4"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4"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4"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4"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4"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4"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4"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4"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4"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4"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4"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4"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4"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4"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4"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4"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4"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4"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4"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4"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4"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4"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4"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4"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4"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53125" defaultRowHeight="13"/>
  <cols>
    <col min="1" max="1" width="5.453125" customWidth="1"/>
    <col min="2" max="2" width="15.08984375" customWidth="1"/>
    <col min="3" max="3" width="16.54296875" style="55" customWidth="1"/>
    <col min="4" max="4" width="11.453125" customWidth="1"/>
    <col min="5" max="5" width="15.90625" customWidth="1"/>
    <col min="6" max="6" width="28.08984375" customWidth="1"/>
    <col min="7" max="7" width="32.453125" customWidth="1"/>
    <col min="8" max="8" width="3.453125" customWidth="1"/>
    <col min="9" max="9" width="15.6328125" customWidth="1"/>
    <col min="10" max="10" width="17" customWidth="1"/>
    <col min="11" max="11" width="13.6328125" customWidth="1"/>
    <col min="12" max="12" width="7.08984375" customWidth="1"/>
    <col min="13" max="13" width="16.90625" style="55" customWidth="1"/>
    <col min="14" max="14" width="6" style="398" customWidth="1"/>
    <col min="15" max="15" width="6.36328125" style="28" customWidth="1"/>
    <col min="16" max="16" width="5.6328125" style="28" customWidth="1"/>
    <col min="17" max="17" width="5.90625" style="28" customWidth="1"/>
    <col min="18" max="18" width="15.08984375" style="28" customWidth="1"/>
    <col min="19" max="19" width="14.54296875" style="28" customWidth="1"/>
    <col min="20" max="20" width="10.90625" customWidth="1"/>
    <col min="21" max="30" width="7" customWidth="1"/>
    <col min="31" max="31" width="32.6328125" customWidth="1"/>
    <col min="32" max="32" width="27.453125" customWidth="1"/>
    <col min="33" max="33" width="18.453125" hidden="1" customWidth="1"/>
    <col min="34" max="34" width="17.453125" style="287" hidden="1" customWidth="1"/>
    <col min="35" max="35" width="22.36328125" hidden="1" customWidth="1"/>
    <col min="36" max="36" width="25.453125" style="55" hidden="1" customWidth="1"/>
    <col min="37" max="37" width="2.453125" hidden="1" customWidth="1"/>
    <col min="38" max="38" width="7.453125" hidden="1" customWidth="1"/>
    <col min="39" max="39" width="0" hidden="1" customWidth="1"/>
  </cols>
  <sheetData>
    <row r="1" spans="1:38" ht="23.25" customHeight="1" thickBot="1">
      <c r="A1" s="276" t="s">
        <v>554</v>
      </c>
      <c r="B1" s="61"/>
      <c r="C1" s="277"/>
      <c r="D1" s="276"/>
      <c r="E1" s="61"/>
      <c r="F1" s="61"/>
      <c r="G1" s="61"/>
      <c r="H1" s="61"/>
      <c r="I1" s="61"/>
      <c r="J1" s="279"/>
      <c r="K1" s="61"/>
      <c r="L1" s="280"/>
      <c r="M1" s="1368" t="s">
        <v>254</v>
      </c>
      <c r="N1" s="937"/>
      <c r="O1" s="1369"/>
      <c r="P1" s="1368" t="str">
        <f>IF(基本情報入力シート!AA16&lt;&gt;"", 基本情報入力シート!AA16, "")</f>
        <v>東京都</v>
      </c>
      <c r="Q1" s="1370"/>
      <c r="R1" s="1371"/>
      <c r="S1" s="64"/>
      <c r="T1" s="145"/>
      <c r="U1" s="281"/>
      <c r="V1" s="281"/>
      <c r="W1" s="281"/>
      <c r="X1" s="281"/>
      <c r="Y1" s="281"/>
      <c r="Z1" s="281"/>
      <c r="AA1" s="281"/>
      <c r="AB1" s="281"/>
      <c r="AC1" s="281"/>
      <c r="AD1" s="281"/>
      <c r="AE1" s="281"/>
      <c r="AF1" s="94"/>
      <c r="AG1" s="94"/>
      <c r="AH1" s="836" t="s">
        <v>255</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加算様式を指定権者に提出</v>
      </c>
      <c r="AI2" s="836"/>
      <c r="AJ2" s="836"/>
      <c r="AK2" s="836"/>
      <c r="AL2" s="836"/>
    </row>
    <row r="3" spans="1:38" ht="31.25" customHeight="1" thickBot="1">
      <c r="A3" s="1347" t="s">
        <v>258</v>
      </c>
      <c r="B3" s="1348"/>
      <c r="C3" s="1349" t="str">
        <f>IF(基本情報入力シート!L22="", "", 基本情報入力シート!L22)</f>
        <v>○○ケアサービス</v>
      </c>
      <c r="D3" s="1350"/>
      <c r="E3" s="1350"/>
      <c r="F3" s="1351"/>
      <c r="G3" s="282"/>
      <c r="H3" s="1393" t="s">
        <v>555</v>
      </c>
      <c r="I3" s="1393"/>
      <c r="J3" s="1393"/>
      <c r="K3" s="1393"/>
      <c r="L3" s="1393"/>
      <c r="M3" s="1393"/>
      <c r="N3" s="1393"/>
      <c r="O3" s="1393"/>
      <c r="P3" s="1393"/>
      <c r="Q3" s="1393"/>
      <c r="R3" s="1393"/>
      <c r="S3" s="1393"/>
      <c r="T3" s="283"/>
      <c r="AH3" s="836"/>
      <c r="AI3" s="836"/>
      <c r="AJ3" s="836"/>
      <c r="AK3" s="836"/>
      <c r="AL3" s="836"/>
    </row>
    <row r="4" spans="1:38" ht="54.65"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5" customHeight="1" thickBot="1">
      <c r="A5" s="1352" t="s">
        <v>556</v>
      </c>
      <c r="B5" s="1352"/>
      <c r="C5" s="1352"/>
      <c r="D5" s="1352"/>
      <c r="E5" s="1353"/>
      <c r="F5" s="590">
        <f>IFERROR(SUM(M:M),"")</f>
        <v>35248800</v>
      </c>
      <c r="G5" s="286"/>
      <c r="H5" s="1393"/>
      <c r="I5" s="1393"/>
      <c r="J5" s="1393"/>
      <c r="K5" s="1393"/>
      <c r="L5" s="1393"/>
      <c r="M5" s="1393"/>
      <c r="N5" s="1393"/>
      <c r="O5" s="1393"/>
      <c r="P5" s="1393"/>
      <c r="Q5" s="1393"/>
      <c r="R5" s="1393"/>
      <c r="S5" s="1393"/>
      <c r="T5" s="283"/>
    </row>
    <row r="6" spans="1:38" ht="36" customHeight="1" thickBot="1">
      <c r="A6" s="1366" t="s">
        <v>557</v>
      </c>
      <c r="B6" s="1367"/>
      <c r="C6" s="1367"/>
      <c r="D6" s="1367"/>
      <c r="E6" s="1367"/>
      <c r="F6" s="591">
        <f>IF(C3="", 0, IF(P1="", "提出先未選択", SUMIF(D:D, P1, M:M)))</f>
        <v>35248800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558</v>
      </c>
      <c r="B8" s="1357" t="s">
        <v>559</v>
      </c>
      <c r="C8" s="1360" t="s">
        <v>51</v>
      </c>
      <c r="D8" s="1343" t="s">
        <v>52</v>
      </c>
      <c r="E8" s="1344"/>
      <c r="F8" s="1363" t="s">
        <v>438</v>
      </c>
      <c r="G8" s="1340" t="s">
        <v>54</v>
      </c>
      <c r="H8" s="1337" t="s">
        <v>55</v>
      </c>
      <c r="I8" s="1360" t="s">
        <v>560</v>
      </c>
      <c r="J8" s="1375" t="s">
        <v>561</v>
      </c>
      <c r="K8" s="1378" t="s">
        <v>562</v>
      </c>
      <c r="L8" s="1381" t="s">
        <v>563</v>
      </c>
      <c r="M8" s="1334" t="s">
        <v>564</v>
      </c>
      <c r="N8" s="1387" t="s">
        <v>565</v>
      </c>
      <c r="O8" s="1388"/>
      <c r="P8" s="1388"/>
      <c r="Q8" s="1389"/>
      <c r="R8" s="1384" t="s">
        <v>566</v>
      </c>
      <c r="S8" s="1372" t="s">
        <v>567</v>
      </c>
      <c r="T8" s="364" t="str">
        <f>IF(C3="", "", IF(AND(COUNTA(基本情報入力シート!X41:X2040)=COUNTA(基本情報入力シート!AE41:AE2040), COUNTIF(I11:I2010, "○")=COUNTIF(AH11:AH2010, "○")), "○","×"))</f>
        <v>○</v>
      </c>
      <c r="U8" s="909" t="s">
        <v>568</v>
      </c>
      <c r="V8" s="910"/>
      <c r="W8" s="910"/>
      <c r="X8" s="910"/>
      <c r="Y8" s="910"/>
      <c r="Z8" s="910"/>
      <c r="AA8" s="910"/>
      <c r="AB8" s="910"/>
      <c r="AC8" s="910"/>
      <c r="AD8" s="910"/>
      <c r="AE8" s="911"/>
      <c r="AF8" s="145"/>
      <c r="AG8" s="145"/>
      <c r="AH8" s="290"/>
    </row>
    <row r="9" spans="1:38" ht="83"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v>
      </c>
      <c r="U9" s="909" t="s">
        <v>569</v>
      </c>
      <c r="V9" s="910"/>
      <c r="W9" s="910"/>
      <c r="X9" s="910"/>
      <c r="Y9" s="910"/>
      <c r="Z9" s="910"/>
      <c r="AA9" s="910"/>
      <c r="AB9" s="910"/>
      <c r="AC9" s="910"/>
      <c r="AD9" s="910"/>
      <c r="AE9" s="911"/>
      <c r="AF9" s="145"/>
      <c r="AG9" s="145"/>
      <c r="AH9" s="290"/>
    </row>
    <row r="10" spans="1:38" ht="47.25" customHeight="1" thickBot="1">
      <c r="A10" s="1356"/>
      <c r="B10" s="1359"/>
      <c r="C10" s="1362"/>
      <c r="D10" s="291" t="s">
        <v>61</v>
      </c>
      <c r="E10" s="291" t="s">
        <v>62</v>
      </c>
      <c r="F10" s="1365"/>
      <c r="G10" s="1342"/>
      <c r="H10" s="1339"/>
      <c r="I10" s="1362"/>
      <c r="J10" s="1377"/>
      <c r="K10" s="1380"/>
      <c r="L10" s="1383"/>
      <c r="M10" s="1336"/>
      <c r="N10" s="292" t="s">
        <v>570</v>
      </c>
      <c r="O10" s="292" t="s">
        <v>571</v>
      </c>
      <c r="P10" s="292" t="s">
        <v>572</v>
      </c>
      <c r="Q10" s="292" t="s">
        <v>573</v>
      </c>
      <c r="R10" s="1386"/>
      <c r="S10" s="1374"/>
      <c r="T10" s="364" t="str">
        <f>IF(C3="", "", IF(COUNTIFS(R11:R2010, "○", S11:S2010, "")=0, "○","×"))</f>
        <v>○</v>
      </c>
      <c r="U10" s="909" t="s">
        <v>574</v>
      </c>
      <c r="V10" s="910"/>
      <c r="W10" s="910"/>
      <c r="X10" s="910"/>
      <c r="Y10" s="910"/>
      <c r="Z10" s="910"/>
      <c r="AA10" s="910"/>
      <c r="AB10" s="910"/>
      <c r="AC10" s="910"/>
      <c r="AD10" s="910"/>
      <c r="AE10" s="911"/>
      <c r="AF10" s="145"/>
      <c r="AG10" s="293" t="s">
        <v>575</v>
      </c>
      <c r="AH10" s="386" t="s">
        <v>576</v>
      </c>
      <c r="AI10" s="386" t="s">
        <v>577</v>
      </c>
      <c r="AJ10" s="386" t="s">
        <v>578</v>
      </c>
    </row>
    <row r="11" spans="1:38" ht="36.75" customHeight="1">
      <c r="A11" s="294">
        <v>1</v>
      </c>
      <c r="B11" s="295" t="str">
        <f>IF(基本情報入力シート!B41="","",基本情報入力シート!B41)</f>
        <v>1111111111</v>
      </c>
      <c r="C11" s="296" t="str">
        <f>IF(基本情報入力シート!L41="","",基本情報入力シート!L41)</f>
        <v>東京都</v>
      </c>
      <c r="D11" s="296" t="str">
        <f>IF(基本情報入力シート!Q41="","",基本情報入力シート!Q41)</f>
        <v>東京都</v>
      </c>
      <c r="E11" s="296" t="str">
        <f>IF(基本情報入力シート!V41="","",基本情報入力シート!V41)</f>
        <v>千代田区</v>
      </c>
      <c r="F11" s="296" t="str">
        <f>IF(基本情報入力シート!W41="","",基本情報入力シート!W41)</f>
        <v>○○ホームヘルプ</v>
      </c>
      <c r="G11" s="296" t="str">
        <f>IF(基本情報入力シート!X41="","",基本情報入力シート!X41)</f>
        <v>訪問介護</v>
      </c>
      <c r="H11" s="297" t="str">
        <f>IF(基本情報入力シート!Z41="","",基本情報入力シート!Z41)</f>
        <v>11</v>
      </c>
      <c r="I11" s="298" t="str">
        <f>IF(基本情報入力シート!AE41&lt;&gt;"", 基本情報入力シート!AE41, "")</f>
        <v>○</v>
      </c>
      <c r="J11" s="56">
        <f>IF(基本情報入力シート!AA41="","",基本情報入力シート!AA41)</f>
        <v>1000000</v>
      </c>
      <c r="K11" s="57">
        <f>IF(基本情報入力シート!AD41="","",基本情報入力シート!AD41)</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IF(基本情報入力シート!B42="","",基本情報入力シート!B42)</f>
        <v>2222222222</v>
      </c>
      <c r="C12" s="304" t="str">
        <f>IF(基本情報入力シート!L42="","",基本情報入力シート!L42)</f>
        <v>東京都</v>
      </c>
      <c r="D12" s="304" t="str">
        <f>IF(基本情報入力シート!Q42="","",基本情報入力シート!Q42)</f>
        <v>東京都</v>
      </c>
      <c r="E12" s="304" t="str">
        <f>IF(基本情報入力シート!V42="","",基本情報入力シート!V42)</f>
        <v>千代田区</v>
      </c>
      <c r="F12" s="304" t="str">
        <f>IF(基本情報入力シート!W42="","",基本情報入力シート!W42)</f>
        <v>××ホームヘルプ</v>
      </c>
      <c r="G12" s="304" t="str">
        <f>IF(基本情報入力シート!X42="","",基本情報入力シート!X42)</f>
        <v>訪問介護</v>
      </c>
      <c r="H12" s="297" t="str">
        <f>IF(基本情報入力シート!Z42="","",基本情報入力シート!Z42)</f>
        <v>11</v>
      </c>
      <c r="I12" s="298" t="str">
        <f>IF(基本情報入力シート!AE42&lt;&gt;"", 基本情報入力シート!AE42, "")</f>
        <v>○</v>
      </c>
      <c r="J12" s="56">
        <f>IF(基本情報入力シート!AA42="","",基本情報入力シート!AA42)</f>
        <v>1000000</v>
      </c>
      <c r="K12" s="59">
        <f>IF(基本情報入力シート!AD42="","",基本情報入力シート!AD42)</f>
        <v>11.4</v>
      </c>
      <c r="L12" s="58">
        <f>IF(G12="","",VLOOKUP(G12,【参考】数式用!$A$3:$C$46,3,FALSE))</f>
        <v>0.105</v>
      </c>
      <c r="M12" s="305">
        <f t="shared" si="0"/>
        <v>1197000</v>
      </c>
      <c r="N12" s="271" t="s">
        <v>47</v>
      </c>
      <c r="O12" s="272"/>
      <c r="P12" s="272"/>
      <c r="Q12" s="222"/>
      <c r="R12" s="222" t="s">
        <v>47</v>
      </c>
      <c r="S12" s="225" t="s">
        <v>580</v>
      </c>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IF(基本情報入力シート!B43="","",基本情報入力シート!B43)</f>
        <v>3333333333</v>
      </c>
      <c r="C13" s="304" t="str">
        <f>IF(基本情報入力シート!L43="","",基本情報入力シート!L43)</f>
        <v>東京都</v>
      </c>
      <c r="D13" s="304" t="str">
        <f>IF(基本情報入力シート!Q43="","",基本情報入力シート!Q43)</f>
        <v>東京都</v>
      </c>
      <c r="E13" s="304" t="str">
        <f>IF(基本情報入力シート!V43="","",基本情報入力シート!V43)</f>
        <v>千代田区</v>
      </c>
      <c r="F13" s="304" t="str">
        <f>IF(基本情報入力シート!W43="","",基本情報入力シート!W43)</f>
        <v>△△ホームヘルプ</v>
      </c>
      <c r="G13" s="304" t="str">
        <f>IF(基本情報入力シート!X43="","",基本情報入力シート!X43)</f>
        <v>訪問介護</v>
      </c>
      <c r="H13" s="297" t="str">
        <f>IF(基本情報入力シート!Z43="","",基本情報入力シート!Z43)</f>
        <v>11</v>
      </c>
      <c r="I13" s="298" t="str">
        <f>IF(基本情報入力シート!AE43&lt;&gt;"", 基本情報入力シート!AE43, "")</f>
        <v>○</v>
      </c>
      <c r="J13" s="56">
        <f>IF(基本情報入力シート!AA43="","",基本情報入力シート!AA43)</f>
        <v>1000000</v>
      </c>
      <c r="K13" s="59">
        <f>IF(基本情報入力シート!AD43="","",基本情報入力シート!AD43)</f>
        <v>11.4</v>
      </c>
      <c r="L13" s="58">
        <f>IF(G13="","",VLOOKUP(G13,【参考】数式用!$A$3:$C$46,3,FALSE))</f>
        <v>0.105</v>
      </c>
      <c r="M13" s="305">
        <f t="shared" si="0"/>
        <v>1197000</v>
      </c>
      <c r="N13" s="271" t="s">
        <v>47</v>
      </c>
      <c r="O13" s="272"/>
      <c r="P13" s="272"/>
      <c r="Q13" s="222"/>
      <c r="R13" s="222" t="s">
        <v>579</v>
      </c>
      <c r="S13" s="225"/>
      <c r="T13" s="61"/>
      <c r="U13" s="1199" t="str">
        <f t="shared" si="2"/>
        <v/>
      </c>
      <c r="V13" s="1199"/>
      <c r="W13" s="1199"/>
      <c r="X13" s="1199"/>
      <c r="Y13" s="1199"/>
      <c r="Z13" s="1199"/>
      <c r="AA13" s="1199"/>
      <c r="AB13" s="1199"/>
      <c r="AC13" s="1199"/>
      <c r="AD13" s="1199"/>
      <c r="AE13" s="119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IF(基本情報入力シート!B44="","",基本情報入力シート!B44)</f>
        <v>4444444444</v>
      </c>
      <c r="C14" s="304" t="str">
        <f>IF(基本情報入力シート!L44="","",基本情報入力シート!L44)</f>
        <v>東京都</v>
      </c>
      <c r="D14" s="304" t="str">
        <f>IF(基本情報入力シート!Q44="","",基本情報入力シート!Q44)</f>
        <v>東京都</v>
      </c>
      <c r="E14" s="304" t="str">
        <f>IF(基本情報入力シート!V44="","",基本情報入力シート!V44)</f>
        <v>千代田区</v>
      </c>
      <c r="F14" s="304" t="str">
        <f>IF(基本情報入力シート!W44="","",基本情報入力シート!W44)</f>
        <v>■■ホームヘルプ</v>
      </c>
      <c r="G14" s="304" t="str">
        <f>IF(基本情報入力シート!X44="","",基本情報入力シート!X44)</f>
        <v>訪問介護</v>
      </c>
      <c r="H14" s="297" t="str">
        <f>IF(基本情報入力シート!Z44="","",基本情報入力シート!Z44)</f>
        <v>11</v>
      </c>
      <c r="I14" s="298" t="str">
        <f>IF(基本情報入力シート!AE44&lt;&gt;"", 基本情報入力シート!AE44, "")</f>
        <v>○</v>
      </c>
      <c r="J14" s="56">
        <f>IF(基本情報入力シート!AA44="","",基本情報入力シート!AA44)</f>
        <v>1000000</v>
      </c>
      <c r="K14" s="59">
        <f>IF(基本情報入力シート!AD44="","",基本情報入力シート!AD44)</f>
        <v>11.4</v>
      </c>
      <c r="L14" s="58">
        <f>IF(G14="","",VLOOKUP(G14,【参考】数式用!$A$3:$C$46,3,FALSE))</f>
        <v>0.105</v>
      </c>
      <c r="M14" s="305">
        <f t="shared" si="0"/>
        <v>1197000</v>
      </c>
      <c r="N14" s="271" t="s">
        <v>47</v>
      </c>
      <c r="O14" s="272"/>
      <c r="P14" s="272"/>
      <c r="Q14" s="222"/>
      <c r="R14" s="222" t="s">
        <v>579</v>
      </c>
      <c r="S14" s="225"/>
      <c r="T14" s="61"/>
      <c r="U14" s="1199" t="str">
        <f t="shared" si="2"/>
        <v/>
      </c>
      <c r="V14" s="1199"/>
      <c r="W14" s="1199"/>
      <c r="X14" s="1199"/>
      <c r="Y14" s="1199"/>
      <c r="Z14" s="1199"/>
      <c r="AA14" s="1199"/>
      <c r="AB14" s="1199"/>
      <c r="AC14" s="1199"/>
      <c r="AD14" s="1199"/>
      <c r="AE14" s="119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IF(基本情報入力シート!B45="","",基本情報入力シート!B45)</f>
        <v>1111111111</v>
      </c>
      <c r="C15" s="304" t="str">
        <f>IF(基本情報入力シート!L45="","",基本情報入力シート!L45)</f>
        <v>千代田区</v>
      </c>
      <c r="D15" s="304" t="str">
        <f>IF(基本情報入力シート!Q45="","",基本情報入力シート!Q45)</f>
        <v>東京都</v>
      </c>
      <c r="E15" s="304" t="str">
        <f>IF(基本情報入力シート!V45="","",基本情報入力シート!V45)</f>
        <v>千代田区</v>
      </c>
      <c r="F15" s="304" t="str">
        <f>IF(基本情報入力シート!W45="","",基本情報入力シート!W45)</f>
        <v>◇◇ホームヘルプ</v>
      </c>
      <c r="G15" s="304" t="str">
        <f>IF(基本情報入力シート!X45="","",基本情報入力シート!X45)</f>
        <v>夜間対応型訪問介護</v>
      </c>
      <c r="H15" s="297" t="str">
        <f>IF(基本情報入力シート!Z45="","",基本情報入力シート!Z45)</f>
        <v>71</v>
      </c>
      <c r="I15" s="298" t="str">
        <f>IF(基本情報入力シート!AE45&lt;&gt;"", 基本情報入力シート!AE45, "")</f>
        <v>○</v>
      </c>
      <c r="J15" s="56">
        <f>IF(基本情報入力シート!AA45="","",基本情報入力シート!AA45)</f>
        <v>1000000</v>
      </c>
      <c r="K15" s="59">
        <f>IF(基本情報入力シート!AD45="","",基本情報入力シート!AD45)</f>
        <v>11.4</v>
      </c>
      <c r="L15" s="58">
        <f>IF(G15="","",VLOOKUP(G15,【参考】数式用!$A$3:$C$46,3,FALSE))</f>
        <v>0.105</v>
      </c>
      <c r="M15" s="305">
        <f t="shared" si="0"/>
        <v>1197000</v>
      </c>
      <c r="N15" s="271" t="s">
        <v>47</v>
      </c>
      <c r="O15" s="272"/>
      <c r="P15" s="272"/>
      <c r="Q15" s="222"/>
      <c r="R15" s="222" t="s">
        <v>579</v>
      </c>
      <c r="S15" s="225"/>
      <c r="T15" s="61"/>
      <c r="U15" s="1199" t="str">
        <f t="shared" si="2"/>
        <v/>
      </c>
      <c r="V15" s="1199"/>
      <c r="W15" s="1199"/>
      <c r="X15" s="1199"/>
      <c r="Y15" s="1199"/>
      <c r="Z15" s="1199"/>
      <c r="AA15" s="1199"/>
      <c r="AB15" s="1199"/>
      <c r="AC15" s="1199"/>
      <c r="AD15" s="1199"/>
      <c r="AE15" s="119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IF(基本情報入力シート!B46="","",基本情報入力シート!B46)</f>
        <v>1111111112</v>
      </c>
      <c r="C16" s="304" t="str">
        <f>IF(基本情報入力シート!L46="","",基本情報入力シート!L46)</f>
        <v>千代田区</v>
      </c>
      <c r="D16" s="304" t="str">
        <f>IF(基本情報入力シート!Q46="","",基本情報入力シート!Q46)</f>
        <v>東京都</v>
      </c>
      <c r="E16" s="304" t="str">
        <f>IF(基本情報入力シート!V46="","",基本情報入力シート!V46)</f>
        <v>千代田区</v>
      </c>
      <c r="F16" s="304" t="str">
        <f>IF(基本情報入力シート!W46="","",基本情報入力シート!W46)</f>
        <v>○○定巡</v>
      </c>
      <c r="G16" s="304" t="str">
        <f>IF(基本情報入力シート!X46="","",基本情報入力シート!X46)</f>
        <v>定期巡回・随時対応型訪問介護看護</v>
      </c>
      <c r="H16" s="297" t="str">
        <f>IF(基本情報入力シート!Z46="","",基本情報入力シート!Z46)</f>
        <v>76</v>
      </c>
      <c r="I16" s="298" t="str">
        <f>IF(基本情報入力シート!AE46&lt;&gt;"", 基本情報入力シート!AE46, "")</f>
        <v>○</v>
      </c>
      <c r="J16" s="56">
        <f>IF(基本情報入力シート!AA46="","",基本情報入力シート!AA46)</f>
        <v>1000000</v>
      </c>
      <c r="K16" s="59">
        <f>IF(基本情報入力シート!AD46="","",基本情報入力シート!AD46)</f>
        <v>11.4</v>
      </c>
      <c r="L16" s="58">
        <f>IF(G16="","",VLOOKUP(G16,【参考】数式用!$A$3:$C$46,3,FALSE))</f>
        <v>0.105</v>
      </c>
      <c r="M16" s="305">
        <f t="shared" si="0"/>
        <v>1197000</v>
      </c>
      <c r="N16" s="271" t="s">
        <v>47</v>
      </c>
      <c r="O16" s="272"/>
      <c r="P16" s="272"/>
      <c r="Q16" s="222"/>
      <c r="R16" s="222" t="s">
        <v>579</v>
      </c>
      <c r="S16" s="225"/>
      <c r="T16" s="61"/>
      <c r="U16" s="1199" t="str">
        <f t="shared" si="2"/>
        <v/>
      </c>
      <c r="V16" s="1199"/>
      <c r="W16" s="1199"/>
      <c r="X16" s="1199"/>
      <c r="Y16" s="1199"/>
      <c r="Z16" s="1199"/>
      <c r="AA16" s="1199"/>
      <c r="AB16" s="1199"/>
      <c r="AC16" s="1199"/>
      <c r="AD16" s="1199"/>
      <c r="AE16" s="119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IF(基本情報入力シート!B47="","",基本情報入力シート!B47)</f>
        <v>1111111113</v>
      </c>
      <c r="C17" s="304" t="str">
        <f>IF(基本情報入力シート!L47="","",基本情報入力シート!L47)</f>
        <v>東京都</v>
      </c>
      <c r="D17" s="304" t="str">
        <f>IF(基本情報入力シート!Q47="","",基本情報入力シート!Q47)</f>
        <v>東京都</v>
      </c>
      <c r="E17" s="304" t="str">
        <f>IF(基本情報入力シート!V47="","",基本情報入力シート!V47)</f>
        <v>千代田区</v>
      </c>
      <c r="F17" s="304" t="str">
        <f>IF(基本情報入力シート!W47="","",基本情報入力シート!W47)</f>
        <v>○○訪問入浴介護</v>
      </c>
      <c r="G17" s="304" t="str">
        <f>IF(基本情報入力シート!X47="","",基本情報入力シート!X47)</f>
        <v>訪問入浴介護</v>
      </c>
      <c r="H17" s="297" t="str">
        <f>IF(基本情報入力シート!Z47="","",基本情報入力シート!Z47)</f>
        <v>12</v>
      </c>
      <c r="I17" s="298" t="str">
        <f>IF(基本情報入力シート!AE47&lt;&gt;"", 基本情報入力シート!AE47, "")</f>
        <v>○</v>
      </c>
      <c r="J17" s="56">
        <f>IF(基本情報入力シート!AA47="","",基本情報入力シート!AA47)</f>
        <v>1000000</v>
      </c>
      <c r="K17" s="59">
        <f>IF(基本情報入力シート!AD47="","",基本情報入力シート!AD47)</f>
        <v>11.4</v>
      </c>
      <c r="L17" s="58">
        <f>IF(G17="","",VLOOKUP(G17,【参考】数式用!$A$3:$C$46,3,FALSE))</f>
        <v>6.3E-2</v>
      </c>
      <c r="M17" s="305">
        <f t="shared" si="0"/>
        <v>718200</v>
      </c>
      <c r="N17" s="271" t="s">
        <v>47</v>
      </c>
      <c r="O17" s="272"/>
      <c r="P17" s="272"/>
      <c r="Q17" s="222"/>
      <c r="R17" s="222" t="s">
        <v>579</v>
      </c>
      <c r="S17" s="225"/>
      <c r="T17" s="61"/>
      <c r="U17" s="1199" t="str">
        <f t="shared" si="2"/>
        <v/>
      </c>
      <c r="V17" s="1199"/>
      <c r="W17" s="1199"/>
      <c r="X17" s="1199"/>
      <c r="Y17" s="1199"/>
      <c r="Z17" s="1199"/>
      <c r="AA17" s="1199"/>
      <c r="AB17" s="1199"/>
      <c r="AC17" s="1199"/>
      <c r="AD17" s="1199"/>
      <c r="AE17" s="119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IF(基本情報入力シート!B48="","",基本情報入力シート!B48)</f>
        <v>1111111114</v>
      </c>
      <c r="C18" s="304" t="str">
        <f>IF(基本情報入力シート!L48="","",基本情報入力シート!L48)</f>
        <v>東京都</v>
      </c>
      <c r="D18" s="304" t="str">
        <f>IF(基本情報入力シート!Q48="","",基本情報入力シート!Q48)</f>
        <v>東京都</v>
      </c>
      <c r="E18" s="304" t="str">
        <f>IF(基本情報入力シート!V48="","",基本情報入力シート!V48)</f>
        <v>千代田区</v>
      </c>
      <c r="F18" s="304" t="str">
        <f>IF(基本情報入力シート!W48="","",基本情報入力シート!W48)</f>
        <v>○○訪問入浴介護</v>
      </c>
      <c r="G18" s="304" t="str">
        <f>IF(基本情報入力シート!X48="","",基本情報入力シート!X48)</f>
        <v>介護予防訪問入浴介護</v>
      </c>
      <c r="H18" s="297" t="str">
        <f>IF(基本情報入力シート!Z48="","",基本情報入力シート!Z48)</f>
        <v>62</v>
      </c>
      <c r="I18" s="298" t="str">
        <f>IF(基本情報入力シート!AE48&lt;&gt;"", 基本情報入力シート!AE48, "")</f>
        <v>○</v>
      </c>
      <c r="J18" s="56">
        <f>IF(基本情報入力シート!AA48="","",基本情報入力シート!AA48)</f>
        <v>1000000</v>
      </c>
      <c r="K18" s="59">
        <f>IF(基本情報入力シート!AD48="","",基本情報入力シート!AD48)</f>
        <v>11.4</v>
      </c>
      <c r="L18" s="58">
        <f>IF(G18="","",VLOOKUP(G18,【参考】数式用!$A$3:$C$46,3,FALSE))</f>
        <v>6.3E-2</v>
      </c>
      <c r="M18" s="305">
        <f t="shared" si="0"/>
        <v>718200</v>
      </c>
      <c r="N18" s="271" t="s">
        <v>47</v>
      </c>
      <c r="O18" s="272"/>
      <c r="P18" s="272"/>
      <c r="Q18" s="222"/>
      <c r="R18" s="222" t="s">
        <v>579</v>
      </c>
      <c r="S18" s="225"/>
      <c r="T18" s="61"/>
      <c r="U18" s="1199" t="str">
        <f t="shared" si="2"/>
        <v/>
      </c>
      <c r="V18" s="1199"/>
      <c r="W18" s="1199"/>
      <c r="X18" s="1199"/>
      <c r="Y18" s="1199"/>
      <c r="Z18" s="1199"/>
      <c r="AA18" s="1199"/>
      <c r="AB18" s="1199"/>
      <c r="AC18" s="1199"/>
      <c r="AD18" s="1199"/>
      <c r="AE18" s="119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IF(基本情報入力シート!B49="","",基本情報入力シート!B49)</f>
        <v>1111111115</v>
      </c>
      <c r="C19" s="304" t="str">
        <f>IF(基本情報入力シート!L49="","",基本情報入力シート!L49)</f>
        <v>東京都</v>
      </c>
      <c r="D19" s="304" t="str">
        <f>IF(基本情報入力シート!Q49="","",基本情報入力シート!Q49)</f>
        <v>東京都</v>
      </c>
      <c r="E19" s="304" t="str">
        <f>IF(基本情報入力シート!V49="","",基本情報入力シート!V49)</f>
        <v>千代田区</v>
      </c>
      <c r="F19" s="304" t="str">
        <f>IF(基本情報入力シート!W49="","",基本情報入力シート!W49)</f>
        <v>○○デイケア</v>
      </c>
      <c r="G19" s="304" t="str">
        <f>IF(基本情報入力シート!X49="","",基本情報入力シート!X49)</f>
        <v>通所介護</v>
      </c>
      <c r="H19" s="297" t="str">
        <f>IF(基本情報入力シート!Z49="","",基本情報入力シート!Z49)</f>
        <v>15</v>
      </c>
      <c r="I19" s="298" t="str">
        <f>IF(基本情報入力シート!AE49&lt;&gt;"", 基本情報入力シート!AE49, "")</f>
        <v>○</v>
      </c>
      <c r="J19" s="56">
        <f>IF(基本情報入力シート!AA49="","",基本情報入力シート!AA49)</f>
        <v>1000000</v>
      </c>
      <c r="K19" s="59">
        <f>IF(基本情報入力シート!AD49="","",基本情報入力シート!AD49)</f>
        <v>10.9</v>
      </c>
      <c r="L19" s="58">
        <f>IF(G19="","",VLOOKUP(G19,【参考】数式用!$A$3:$C$46,3,FALSE))</f>
        <v>6.4000000000000001E-2</v>
      </c>
      <c r="M19" s="305">
        <f t="shared" si="0"/>
        <v>697600</v>
      </c>
      <c r="N19" s="271" t="s">
        <v>47</v>
      </c>
      <c r="O19" s="272"/>
      <c r="P19" s="272"/>
      <c r="Q19" s="222"/>
      <c r="R19" s="222" t="s">
        <v>579</v>
      </c>
      <c r="S19" s="225"/>
      <c r="T19" s="61"/>
      <c r="U19" s="1199" t="str">
        <f t="shared" si="2"/>
        <v/>
      </c>
      <c r="V19" s="1199"/>
      <c r="W19" s="1199"/>
      <c r="X19" s="1199"/>
      <c r="Y19" s="1199"/>
      <c r="Z19" s="1199"/>
      <c r="AA19" s="1199"/>
      <c r="AB19" s="1199"/>
      <c r="AC19" s="1199"/>
      <c r="AD19" s="1199"/>
      <c r="AE19" s="119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IF(基本情報入力シート!B50="","",基本情報入力シート!B50)</f>
        <v>1111111116</v>
      </c>
      <c r="C20" s="304" t="str">
        <f>IF(基本情報入力シート!L50="","",基本情報入力シート!L50)</f>
        <v>千代田区</v>
      </c>
      <c r="D20" s="304" t="str">
        <f>IF(基本情報入力シート!Q50="","",基本情報入力シート!Q50)</f>
        <v>東京都</v>
      </c>
      <c r="E20" s="304" t="str">
        <f>IF(基本情報入力シート!V50="","",基本情報入力シート!V50)</f>
        <v>千代田区</v>
      </c>
      <c r="F20" s="304" t="str">
        <f>IF(基本情報入力シート!W50="","",基本情報入力シート!W50)</f>
        <v>○○デイケア</v>
      </c>
      <c r="G20" s="304" t="str">
        <f>IF(基本情報入力シート!X50="","",基本情報入力シート!X50)</f>
        <v>地域密着型通所介護</v>
      </c>
      <c r="H20" s="297" t="str">
        <f>IF(基本情報入力シート!Z50="","",基本情報入力シート!Z50)</f>
        <v>78</v>
      </c>
      <c r="I20" s="298" t="str">
        <f>IF(基本情報入力シート!AE50&lt;&gt;"", 基本情報入力シート!AE50, "")</f>
        <v>○</v>
      </c>
      <c r="J20" s="56">
        <f>IF(基本情報入力シート!AA50="","",基本情報入力シート!AA50)</f>
        <v>1000000</v>
      </c>
      <c r="K20" s="59">
        <f>IF(基本情報入力シート!AD50="","",基本情報入力シート!AD50)</f>
        <v>10.9</v>
      </c>
      <c r="L20" s="58">
        <f>IF(G20="","",VLOOKUP(G20,【参考】数式用!$A$3:$C$46,3,FALSE))</f>
        <v>6.4000000000000001E-2</v>
      </c>
      <c r="M20" s="305">
        <f t="shared" si="0"/>
        <v>697600</v>
      </c>
      <c r="N20" s="271" t="s">
        <v>47</v>
      </c>
      <c r="O20" s="272"/>
      <c r="P20" s="272"/>
      <c r="Q20" s="222"/>
      <c r="R20" s="222" t="s">
        <v>579</v>
      </c>
      <c r="S20" s="225"/>
      <c r="T20" s="61"/>
      <c r="U20" s="1199" t="str">
        <f t="shared" si="2"/>
        <v/>
      </c>
      <c r="V20" s="1199"/>
      <c r="W20" s="1199"/>
      <c r="X20" s="1199"/>
      <c r="Y20" s="1199"/>
      <c r="Z20" s="1199"/>
      <c r="AA20" s="1199"/>
      <c r="AB20" s="1199"/>
      <c r="AC20" s="1199"/>
      <c r="AD20" s="1199"/>
      <c r="AE20" s="119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IF(基本情報入力シート!B51="","",基本情報入力シート!B51)</f>
        <v>1111111117</v>
      </c>
      <c r="C21" s="304" t="str">
        <f>IF(基本情報入力シート!L51="","",基本情報入力シート!L51)</f>
        <v>東京都</v>
      </c>
      <c r="D21" s="304" t="str">
        <f>IF(基本情報入力シート!Q51="","",基本情報入力シート!Q51)</f>
        <v>東京都</v>
      </c>
      <c r="E21" s="304" t="str">
        <f>IF(基本情報入力シート!V51="","",基本情報入力シート!V51)</f>
        <v>千代田区</v>
      </c>
      <c r="F21" s="304" t="str">
        <f>IF(基本情報入力シート!W51="","",基本情報入力シート!W51)</f>
        <v>○○リハ</v>
      </c>
      <c r="G21" s="304" t="str">
        <f>IF(基本情報入力シート!X51="","",基本情報入力シート!X51)</f>
        <v>通所リハビリテーション</v>
      </c>
      <c r="H21" s="297" t="str">
        <f>IF(基本情報入力シート!Z51="","",基本情報入力シート!Z51)</f>
        <v>16</v>
      </c>
      <c r="I21" s="298" t="str">
        <f>IF(基本情報入力シート!AE51&lt;&gt;"", 基本情報入力シート!AE51, "")</f>
        <v>○</v>
      </c>
      <c r="J21" s="56">
        <f>IF(基本情報入力シート!AA51="","",基本情報入力シート!AA51)</f>
        <v>1000000</v>
      </c>
      <c r="K21" s="59">
        <f>IF(基本情報入力シート!AD51="","",基本情報入力シート!AD51)</f>
        <v>11.1</v>
      </c>
      <c r="L21" s="58">
        <f>IF(G21="","",VLOOKUP(G21,【参考】数式用!$A$3:$C$46,3,FALSE))</f>
        <v>5.5E-2</v>
      </c>
      <c r="M21" s="305">
        <f t="shared" si="0"/>
        <v>610500</v>
      </c>
      <c r="N21" s="271" t="s">
        <v>47</v>
      </c>
      <c r="O21" s="272"/>
      <c r="P21" s="272"/>
      <c r="Q21" s="222"/>
      <c r="R21" s="222" t="s">
        <v>579</v>
      </c>
      <c r="S21" s="225"/>
      <c r="T21" s="61"/>
      <c r="U21" s="1199" t="str">
        <f t="shared" si="2"/>
        <v/>
      </c>
      <c r="V21" s="1199"/>
      <c r="W21" s="1199"/>
      <c r="X21" s="1199"/>
      <c r="Y21" s="1199"/>
      <c r="Z21" s="1199"/>
      <c r="AA21" s="1199"/>
      <c r="AB21" s="1199"/>
      <c r="AC21" s="1199"/>
      <c r="AD21" s="1199"/>
      <c r="AE21" s="119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IF(基本情報入力シート!B52="","",基本情報入力シート!B52)</f>
        <v>1111111118</v>
      </c>
      <c r="C22" s="304" t="str">
        <f>IF(基本情報入力シート!L52="","",基本情報入力シート!L52)</f>
        <v>東京都</v>
      </c>
      <c r="D22" s="304" t="str">
        <f>IF(基本情報入力シート!Q52="","",基本情報入力シート!Q52)</f>
        <v>東京都</v>
      </c>
      <c r="E22" s="304" t="str">
        <f>IF(基本情報入力シート!V52="","",基本情報入力シート!V52)</f>
        <v>千代田区</v>
      </c>
      <c r="F22" s="304" t="str">
        <f>IF(基本情報入力シート!W52="","",基本情報入力シート!W52)</f>
        <v>○○リハ</v>
      </c>
      <c r="G22" s="304" t="str">
        <f>IF(基本情報入力シート!X52="","",基本情報入力シート!X52)</f>
        <v>介護予防通所リハビリテーション</v>
      </c>
      <c r="H22" s="297" t="str">
        <f>IF(基本情報入力シート!Z52="","",基本情報入力シート!Z52)</f>
        <v>66</v>
      </c>
      <c r="I22" s="298" t="str">
        <f>IF(基本情報入力シート!AE52&lt;&gt;"", 基本情報入力シート!AE52, "")</f>
        <v>○</v>
      </c>
      <c r="J22" s="56">
        <f>IF(基本情報入力シート!AA52="","",基本情報入力シート!AA52)</f>
        <v>1000000</v>
      </c>
      <c r="K22" s="59">
        <f>IF(基本情報入力シート!AD52="","",基本情報入力シート!AD52)</f>
        <v>11.1</v>
      </c>
      <c r="L22" s="58">
        <f>IF(G22="","",VLOOKUP(G22,【参考】数式用!$A$3:$C$46,3,FALSE))</f>
        <v>5.5E-2</v>
      </c>
      <c r="M22" s="305">
        <f t="shared" si="0"/>
        <v>610500</v>
      </c>
      <c r="N22" s="271" t="s">
        <v>47</v>
      </c>
      <c r="O22" s="272"/>
      <c r="P22" s="272"/>
      <c r="Q22" s="222"/>
      <c r="R22" s="222" t="s">
        <v>579</v>
      </c>
      <c r="S22" s="225"/>
      <c r="T22" s="61"/>
      <c r="U22" s="1199" t="str">
        <f t="shared" si="2"/>
        <v/>
      </c>
      <c r="V22" s="1199"/>
      <c r="W22" s="1199"/>
      <c r="X22" s="1199"/>
      <c r="Y22" s="1199"/>
      <c r="Z22" s="1199"/>
      <c r="AA22" s="1199"/>
      <c r="AB22" s="1199"/>
      <c r="AC22" s="1199"/>
      <c r="AD22" s="1199"/>
      <c r="AE22" s="119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IF(基本情報入力シート!B53="","",基本情報入力シート!B53)</f>
        <v>1111111119</v>
      </c>
      <c r="C23" s="304" t="str">
        <f>IF(基本情報入力シート!L53="","",基本情報入力シート!L53)</f>
        <v>東京都</v>
      </c>
      <c r="D23" s="304" t="str">
        <f>IF(基本情報入力シート!Q53="","",基本情報入力シート!Q53)</f>
        <v>東京都</v>
      </c>
      <c r="E23" s="304" t="str">
        <f>IF(基本情報入力シート!V53="","",基本情報入力シート!V53)</f>
        <v>千代田区</v>
      </c>
      <c r="F23" s="304" t="str">
        <f>IF(基本情報入力シート!W53="","",基本情報入力シート!W53)</f>
        <v>○○の杜</v>
      </c>
      <c r="G23" s="304" t="str">
        <f>IF(基本情報入力シート!X53="","",基本情報入力シート!X53)</f>
        <v>特定施設入居者生活介護</v>
      </c>
      <c r="H23" s="297" t="str">
        <f>IF(基本情報入力シート!Z53="","",基本情報入力シート!Z53)</f>
        <v>33</v>
      </c>
      <c r="I23" s="298" t="str">
        <f>IF(基本情報入力シート!AE53&lt;&gt;"", 基本情報入力シート!AE53, "")</f>
        <v>○</v>
      </c>
      <c r="J23" s="56">
        <f>IF(基本情報入力シート!AA53="","",基本情報入力シート!AA53)</f>
        <v>1000000</v>
      </c>
      <c r="K23" s="59">
        <f>IF(基本情報入力シート!AD53="","",基本情報入力シート!AD53)</f>
        <v>10.9</v>
      </c>
      <c r="L23" s="58">
        <f>IF(G23="","",VLOOKUP(G23,【参考】数式用!$A$3:$C$46,3,FALSE))</f>
        <v>7.3999999999999996E-2</v>
      </c>
      <c r="M23" s="305">
        <f t="shared" si="0"/>
        <v>806600</v>
      </c>
      <c r="N23" s="271" t="s">
        <v>47</v>
      </c>
      <c r="O23" s="272"/>
      <c r="P23" s="272"/>
      <c r="Q23" s="222"/>
      <c r="R23" s="222" t="s">
        <v>579</v>
      </c>
      <c r="S23" s="225"/>
      <c r="T23" s="61"/>
      <c r="U23" s="1199" t="str">
        <f t="shared" si="2"/>
        <v/>
      </c>
      <c r="V23" s="1199"/>
      <c r="W23" s="1199"/>
      <c r="X23" s="1199"/>
      <c r="Y23" s="1199"/>
      <c r="Z23" s="1199"/>
      <c r="AA23" s="1199"/>
      <c r="AB23" s="1199"/>
      <c r="AC23" s="1199"/>
      <c r="AD23" s="1199"/>
      <c r="AE23" s="119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IF(基本情報入力シート!B54="","",基本情報入力シート!B54)</f>
        <v>1111111120</v>
      </c>
      <c r="C24" s="304" t="str">
        <f>IF(基本情報入力シート!L54="","",基本情報入力シート!L54)</f>
        <v>東京都</v>
      </c>
      <c r="D24" s="304" t="str">
        <f>IF(基本情報入力シート!Q54="","",基本情報入力シート!Q54)</f>
        <v>東京都</v>
      </c>
      <c r="E24" s="304" t="str">
        <f>IF(基本情報入力シート!V54="","",基本情報入力シート!V54)</f>
        <v>千代田区</v>
      </c>
      <c r="F24" s="304" t="str">
        <f>IF(基本情報入力シート!W54="","",基本情報入力シート!W54)</f>
        <v>○○の杜</v>
      </c>
      <c r="G24" s="304" t="str">
        <f>IF(基本情報入力シート!X54="","",基本情報入力シート!X54)</f>
        <v>特定施設入居者生活介護（短期利用型）</v>
      </c>
      <c r="H24" s="297" t="str">
        <f>IF(基本情報入力シート!Z54="","",基本情報入力シート!Z54)</f>
        <v>27</v>
      </c>
      <c r="I24" s="298" t="str">
        <f>IF(基本情報入力シート!AE54&lt;&gt;"", 基本情報入力シート!AE54, "")</f>
        <v>○</v>
      </c>
      <c r="J24" s="56">
        <f>IF(基本情報入力シート!AA54="","",基本情報入力シート!AA54)</f>
        <v>1000000</v>
      </c>
      <c r="K24" s="59">
        <f>IF(基本情報入力シート!AD54="","",基本情報入力シート!AD54)</f>
        <v>10.9</v>
      </c>
      <c r="L24" s="58">
        <f>IF(G24="","",VLOOKUP(G24,【参考】数式用!$A$3:$C$46,3,FALSE))</f>
        <v>7.3999999999999996E-2</v>
      </c>
      <c r="M24" s="305">
        <f t="shared" si="0"/>
        <v>806600</v>
      </c>
      <c r="N24" s="271" t="s">
        <v>47</v>
      </c>
      <c r="O24" s="272"/>
      <c r="P24" s="272"/>
      <c r="Q24" s="222"/>
      <c r="R24" s="222" t="s">
        <v>579</v>
      </c>
      <c r="S24" s="225"/>
      <c r="T24" s="61"/>
      <c r="U24" s="1199" t="str">
        <f t="shared" si="2"/>
        <v/>
      </c>
      <c r="V24" s="1199"/>
      <c r="W24" s="1199"/>
      <c r="X24" s="1199"/>
      <c r="Y24" s="1199"/>
      <c r="Z24" s="1199"/>
      <c r="AA24" s="1199"/>
      <c r="AB24" s="1199"/>
      <c r="AC24" s="1199"/>
      <c r="AD24" s="1199"/>
      <c r="AE24" s="119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IF(基本情報入力シート!B55="","",基本情報入力シート!B55)</f>
        <v>1111111121</v>
      </c>
      <c r="C25" s="304" t="str">
        <f>IF(基本情報入力シート!L55="","",基本情報入力シート!L55)</f>
        <v>東京都</v>
      </c>
      <c r="D25" s="304" t="str">
        <f>IF(基本情報入力シート!Q55="","",基本情報入力シート!Q55)</f>
        <v>東京都</v>
      </c>
      <c r="E25" s="304" t="str">
        <f>IF(基本情報入力シート!V55="","",基本情報入力シート!V55)</f>
        <v>千代田区</v>
      </c>
      <c r="F25" s="304" t="str">
        <f>IF(基本情報入力シート!W55="","",基本情報入力シート!W55)</f>
        <v>○○の杜</v>
      </c>
      <c r="G25" s="304" t="str">
        <f>IF(基本情報入力シート!X55="","",基本情報入力シート!X55)</f>
        <v>介護予防特定施設入居者生活介護</v>
      </c>
      <c r="H25" s="297" t="str">
        <f>IF(基本情報入力シート!Z55="","",基本情報入力シート!Z55)</f>
        <v>35</v>
      </c>
      <c r="I25" s="298" t="str">
        <f>IF(基本情報入力シート!AE55&lt;&gt;"", 基本情報入力シート!AE55, "")</f>
        <v>○</v>
      </c>
      <c r="J25" s="56">
        <f>IF(基本情報入力シート!AA55="","",基本情報入力シート!AA55)</f>
        <v>1000000</v>
      </c>
      <c r="K25" s="59">
        <f>IF(基本情報入力シート!AD55="","",基本情報入力シート!AD55)</f>
        <v>10.9</v>
      </c>
      <c r="L25" s="58">
        <f>IF(G25="","",VLOOKUP(G25,【参考】数式用!$A$3:$C$46,3,FALSE))</f>
        <v>7.3999999999999996E-2</v>
      </c>
      <c r="M25" s="305">
        <f t="shared" si="0"/>
        <v>806600</v>
      </c>
      <c r="N25" s="271" t="s">
        <v>47</v>
      </c>
      <c r="O25" s="272"/>
      <c r="P25" s="272"/>
      <c r="Q25" s="222"/>
      <c r="R25" s="222" t="s">
        <v>579</v>
      </c>
      <c r="S25" s="225"/>
      <c r="T25" s="61"/>
      <c r="U25" s="1199" t="str">
        <f t="shared" si="2"/>
        <v/>
      </c>
      <c r="V25" s="1199"/>
      <c r="W25" s="1199"/>
      <c r="X25" s="1199"/>
      <c r="Y25" s="1199"/>
      <c r="Z25" s="1199"/>
      <c r="AA25" s="1199"/>
      <c r="AB25" s="1199"/>
      <c r="AC25" s="1199"/>
      <c r="AD25" s="1199"/>
      <c r="AE25" s="119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IF(基本情報入力シート!B56="","",基本情報入力シート!B56)</f>
        <v>1111111122</v>
      </c>
      <c r="C26" s="304" t="str">
        <f>IF(基本情報入力シート!L56="","",基本情報入力シート!L56)</f>
        <v>千代田区</v>
      </c>
      <c r="D26" s="304" t="str">
        <f>IF(基本情報入力シート!Q56="","",基本情報入力シート!Q56)</f>
        <v>東京都</v>
      </c>
      <c r="E26" s="304" t="str">
        <f>IF(基本情報入力シート!V56="","",基本情報入力シート!V56)</f>
        <v>千代田区</v>
      </c>
      <c r="F26" s="304" t="str">
        <f>IF(基本情報入力シート!W56="","",基本情報入力シート!W56)</f>
        <v>○○の杜</v>
      </c>
      <c r="G26" s="304" t="str">
        <f>IF(基本情報入力シート!X56="","",基本情報入力シート!X56)</f>
        <v>地域密着型特定施設入居者生活介護</v>
      </c>
      <c r="H26" s="297" t="str">
        <f>IF(基本情報入力シート!Z56="","",基本情報入力シート!Z56)</f>
        <v>36</v>
      </c>
      <c r="I26" s="298" t="str">
        <f>IF(基本情報入力シート!AE56&lt;&gt;"", 基本情報入力シート!AE56, "")</f>
        <v>○</v>
      </c>
      <c r="J26" s="56">
        <f>IF(基本情報入力シート!AA56="","",基本情報入力シート!AA56)</f>
        <v>1000000</v>
      </c>
      <c r="K26" s="59">
        <f>IF(基本情報入力シート!AD56="","",基本情報入力シート!AD56)</f>
        <v>10.9</v>
      </c>
      <c r="L26" s="58">
        <f>IF(G26="","",VLOOKUP(G26,【参考】数式用!$A$3:$C$46,3,FALSE))</f>
        <v>7.3999999999999996E-2</v>
      </c>
      <c r="M26" s="305">
        <f t="shared" si="0"/>
        <v>806600</v>
      </c>
      <c r="N26" s="271" t="s">
        <v>47</v>
      </c>
      <c r="O26" s="272"/>
      <c r="P26" s="272"/>
      <c r="Q26" s="222"/>
      <c r="R26" s="222" t="s">
        <v>579</v>
      </c>
      <c r="S26" s="225"/>
      <c r="T26" s="61"/>
      <c r="U26" s="1199" t="str">
        <f t="shared" si="2"/>
        <v/>
      </c>
      <c r="V26" s="1199"/>
      <c r="W26" s="1199"/>
      <c r="X26" s="1199"/>
      <c r="Y26" s="1199"/>
      <c r="Z26" s="1199"/>
      <c r="AA26" s="1199"/>
      <c r="AB26" s="1199"/>
      <c r="AC26" s="1199"/>
      <c r="AD26" s="1199"/>
      <c r="AE26" s="119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IF(基本情報入力シート!B57="","",基本情報入力シート!B57)</f>
        <v>1111111123</v>
      </c>
      <c r="C27" s="304" t="str">
        <f>IF(基本情報入力シート!L57="","",基本情報入力シート!L57)</f>
        <v>千代田区</v>
      </c>
      <c r="D27" s="304" t="str">
        <f>IF(基本情報入力シート!Q57="","",基本情報入力シート!Q57)</f>
        <v>東京都</v>
      </c>
      <c r="E27" s="304" t="str">
        <f>IF(基本情報入力シート!V57="","",基本情報入力シート!V57)</f>
        <v>千代田区</v>
      </c>
      <c r="F27" s="304" t="str">
        <f>IF(基本情報入力シート!W57="","",基本情報入力シート!W57)</f>
        <v>○○の杜</v>
      </c>
      <c r="G27" s="304" t="str">
        <f>IF(基本情報入力シート!X57="","",基本情報入力シート!X57)</f>
        <v>地域密着型特定施設入居者生活介護（短期利用型）</v>
      </c>
      <c r="H27" s="297" t="str">
        <f>IF(基本情報入力シート!Z57="","",基本情報入力シート!Z57)</f>
        <v>28</v>
      </c>
      <c r="I27" s="298" t="str">
        <f>IF(基本情報入力シート!AE57&lt;&gt;"", 基本情報入力シート!AE57, "")</f>
        <v>○</v>
      </c>
      <c r="J27" s="56">
        <f>IF(基本情報入力シート!AA57="","",基本情報入力シート!AA57)</f>
        <v>1000000</v>
      </c>
      <c r="K27" s="59">
        <f>IF(基本情報入力シート!AD57="","",基本情報入力シート!AD57)</f>
        <v>10.9</v>
      </c>
      <c r="L27" s="58">
        <f>IF(G27="","",VLOOKUP(G27,【参考】数式用!$A$3:$C$46,3,FALSE))</f>
        <v>7.3999999999999996E-2</v>
      </c>
      <c r="M27" s="305">
        <f t="shared" si="0"/>
        <v>806600</v>
      </c>
      <c r="N27" s="271" t="s">
        <v>47</v>
      </c>
      <c r="O27" s="272"/>
      <c r="P27" s="272"/>
      <c r="Q27" s="222"/>
      <c r="R27" s="222" t="s">
        <v>579</v>
      </c>
      <c r="S27" s="225"/>
      <c r="T27" s="61"/>
      <c r="U27" s="1199" t="str">
        <f t="shared" si="2"/>
        <v/>
      </c>
      <c r="V27" s="1199"/>
      <c r="W27" s="1199"/>
      <c r="X27" s="1199"/>
      <c r="Y27" s="1199"/>
      <c r="Z27" s="1199"/>
      <c r="AA27" s="1199"/>
      <c r="AB27" s="1199"/>
      <c r="AC27" s="1199"/>
      <c r="AD27" s="1199"/>
      <c r="AE27" s="119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IF(基本情報入力シート!B58="","",基本情報入力シート!B58)</f>
        <v>1111111124</v>
      </c>
      <c r="C28" s="304" t="str">
        <f>IF(基本情報入力シート!L58="","",基本情報入力シート!L58)</f>
        <v>千代田区</v>
      </c>
      <c r="D28" s="304" t="str">
        <f>IF(基本情報入力シート!Q58="","",基本情報入力シート!Q58)</f>
        <v>東京都</v>
      </c>
      <c r="E28" s="304" t="str">
        <f>IF(基本情報入力シート!V58="","",基本情報入力シート!V58)</f>
        <v>千代田区</v>
      </c>
      <c r="F28" s="304" t="str">
        <f>IF(基本情報入力シート!W58="","",基本情報入力シート!W58)</f>
        <v>○○デイケア</v>
      </c>
      <c r="G28" s="304" t="str">
        <f>IF(基本情報入力シート!X58="","",基本情報入力シート!X58)</f>
        <v>認知症対応型通所介護</v>
      </c>
      <c r="H28" s="297" t="str">
        <f>IF(基本情報入力シート!Z58="","",基本情報入力シート!Z58)</f>
        <v>72</v>
      </c>
      <c r="I28" s="298" t="str">
        <f>IF(基本情報入力シート!AE58&lt;&gt;"", 基本情報入力シート!AE58, "")</f>
        <v>○</v>
      </c>
      <c r="J28" s="56">
        <f>IF(基本情報入力シート!AA58="","",基本情報入力シート!AA58)</f>
        <v>1000000</v>
      </c>
      <c r="K28" s="59">
        <f>IF(基本情報入力シート!AD58="","",基本情報入力シート!AD58)</f>
        <v>11.1</v>
      </c>
      <c r="L28" s="58">
        <f>IF(G28="","",VLOOKUP(G28,【参考】数式用!$A$3:$C$46,3,FALSE))</f>
        <v>0.13200000000000001</v>
      </c>
      <c r="M28" s="305">
        <f t="shared" si="0"/>
        <v>1465200</v>
      </c>
      <c r="N28" s="271" t="s">
        <v>47</v>
      </c>
      <c r="O28" s="272"/>
      <c r="P28" s="272"/>
      <c r="Q28" s="222"/>
      <c r="R28" s="222" t="s">
        <v>579</v>
      </c>
      <c r="S28" s="225"/>
      <c r="T28" s="61"/>
      <c r="U28" s="1199" t="str">
        <f t="shared" si="2"/>
        <v/>
      </c>
      <c r="V28" s="1199"/>
      <c r="W28" s="1199"/>
      <c r="X28" s="1199"/>
      <c r="Y28" s="1199"/>
      <c r="Z28" s="1199"/>
      <c r="AA28" s="1199"/>
      <c r="AB28" s="1199"/>
      <c r="AC28" s="1199"/>
      <c r="AD28" s="1199"/>
      <c r="AE28" s="119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IF(基本情報入力シート!B59="","",基本情報入力シート!B59)</f>
        <v>1111111125</v>
      </c>
      <c r="C29" s="304" t="str">
        <f>IF(基本情報入力シート!L59="","",基本情報入力シート!L59)</f>
        <v>千代田区</v>
      </c>
      <c r="D29" s="304" t="str">
        <f>IF(基本情報入力シート!Q59="","",基本情報入力シート!Q59)</f>
        <v>東京都</v>
      </c>
      <c r="E29" s="304" t="str">
        <f>IF(基本情報入力シート!V59="","",基本情報入力シート!V59)</f>
        <v>千代田区</v>
      </c>
      <c r="F29" s="304" t="str">
        <f>IF(基本情報入力シート!W59="","",基本情報入力シート!W59)</f>
        <v>○○デイケア</v>
      </c>
      <c r="G29" s="304" t="str">
        <f>IF(基本情報入力シート!X59="","",基本情報入力シート!X59)</f>
        <v>介護予防認知症対応型通所介護</v>
      </c>
      <c r="H29" s="297" t="str">
        <f>IF(基本情報入力シート!Z59="","",基本情報入力シート!Z59)</f>
        <v>74</v>
      </c>
      <c r="I29" s="298" t="str">
        <f>IF(基本情報入力シート!AE59&lt;&gt;"", 基本情報入力シート!AE59, "")</f>
        <v>○</v>
      </c>
      <c r="J29" s="56">
        <f>IF(基本情報入力シート!AA59="","",基本情報入力シート!AA59)</f>
        <v>1000000</v>
      </c>
      <c r="K29" s="59">
        <f>IF(基本情報入力シート!AD59="","",基本情報入力シート!AD59)</f>
        <v>11.1</v>
      </c>
      <c r="L29" s="58">
        <f>IF(G29="","",VLOOKUP(G29,【参考】数式用!$A$3:$C$46,3,FALSE))</f>
        <v>0.13200000000000001</v>
      </c>
      <c r="M29" s="305">
        <f t="shared" si="0"/>
        <v>1465200</v>
      </c>
      <c r="N29" s="271" t="s">
        <v>47</v>
      </c>
      <c r="O29" s="272"/>
      <c r="P29" s="272"/>
      <c r="Q29" s="222"/>
      <c r="R29" s="222" t="s">
        <v>579</v>
      </c>
      <c r="S29" s="225"/>
      <c r="T29" s="61"/>
      <c r="U29" s="1199" t="str">
        <f t="shared" si="2"/>
        <v/>
      </c>
      <c r="V29" s="1199"/>
      <c r="W29" s="1199"/>
      <c r="X29" s="1199"/>
      <c r="Y29" s="1199"/>
      <c r="Z29" s="1199"/>
      <c r="AA29" s="1199"/>
      <c r="AB29" s="1199"/>
      <c r="AC29" s="1199"/>
      <c r="AD29" s="1199"/>
      <c r="AE29" s="119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IF(基本情報入力シート!B60="","",基本情報入力シート!B60)</f>
        <v>1111111126</v>
      </c>
      <c r="C30" s="304" t="str">
        <f>IF(基本情報入力シート!L60="","",基本情報入力シート!L60)</f>
        <v>千代田区</v>
      </c>
      <c r="D30" s="304" t="str">
        <f>IF(基本情報入力シート!Q60="","",基本情報入力シート!Q60)</f>
        <v>東京都</v>
      </c>
      <c r="E30" s="304" t="str">
        <f>IF(基本情報入力シート!V60="","",基本情報入力シート!V60)</f>
        <v>千代田区</v>
      </c>
      <c r="F30" s="304" t="str">
        <f>IF(基本情報入力シート!W60="","",基本情報入力シート!W60)</f>
        <v>○○小多機</v>
      </c>
      <c r="G30" s="304" t="str">
        <f>IF(基本情報入力シート!X60="","",基本情報入力シート!X60)</f>
        <v>小規模多機能型居宅介護</v>
      </c>
      <c r="H30" s="297" t="str">
        <f>IF(基本情報入力シート!Z60="","",基本情報入力シート!Z60)</f>
        <v>73</v>
      </c>
      <c r="I30" s="298" t="str">
        <f>IF(基本情報入力シート!AE60&lt;&gt;"", 基本情報入力シート!AE60, "")</f>
        <v>○</v>
      </c>
      <c r="J30" s="56">
        <f>IF(基本情報入力シート!AA60="","",基本情報入力シート!AA60)</f>
        <v>1000000</v>
      </c>
      <c r="K30" s="59">
        <f>IF(基本情報入力シート!AD60="","",基本情報入力シート!AD60)</f>
        <v>11.1</v>
      </c>
      <c r="L30" s="58">
        <f>IF(G30="","",VLOOKUP(G30,【参考】数式用!$A$3:$C$46,3,FALSE))</f>
        <v>8.4000000000000005E-2</v>
      </c>
      <c r="M30" s="305">
        <f t="shared" si="0"/>
        <v>932400</v>
      </c>
      <c r="N30" s="271" t="s">
        <v>47</v>
      </c>
      <c r="O30" s="272"/>
      <c r="P30" s="272"/>
      <c r="Q30" s="222"/>
      <c r="R30" s="222" t="s">
        <v>579</v>
      </c>
      <c r="S30" s="225"/>
      <c r="T30" s="61"/>
      <c r="U30" s="1199" t="str">
        <f t="shared" si="2"/>
        <v/>
      </c>
      <c r="V30" s="1199"/>
      <c r="W30" s="1199"/>
      <c r="X30" s="1199"/>
      <c r="Y30" s="1199"/>
      <c r="Z30" s="1199"/>
      <c r="AA30" s="1199"/>
      <c r="AB30" s="1199"/>
      <c r="AC30" s="1199"/>
      <c r="AD30" s="1199"/>
      <c r="AE30" s="119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IF(基本情報入力シート!B61="","",基本情報入力シート!B61)</f>
        <v>1111111127</v>
      </c>
      <c r="C31" s="304" t="str">
        <f>IF(基本情報入力シート!L61="","",基本情報入力シート!L61)</f>
        <v>千代田区</v>
      </c>
      <c r="D31" s="304" t="str">
        <f>IF(基本情報入力シート!Q61="","",基本情報入力シート!Q61)</f>
        <v>東京都</v>
      </c>
      <c r="E31" s="304" t="str">
        <f>IF(基本情報入力シート!V61="","",基本情報入力シート!V61)</f>
        <v>千代田区</v>
      </c>
      <c r="F31" s="304" t="str">
        <f>IF(基本情報入力シート!W61="","",基本情報入力シート!W61)</f>
        <v>○○小多機</v>
      </c>
      <c r="G31" s="304" t="str">
        <f>IF(基本情報入力シート!X61="","",基本情報入力シート!X61)</f>
        <v>小規模多機能型居宅介護（短期利用型）</v>
      </c>
      <c r="H31" s="297" t="str">
        <f>IF(基本情報入力シート!Z61="","",基本情報入力シート!Z61)</f>
        <v>68</v>
      </c>
      <c r="I31" s="298" t="str">
        <f>IF(基本情報入力シート!AE61&lt;&gt;"", 基本情報入力シート!AE61, "")</f>
        <v>○</v>
      </c>
      <c r="J31" s="56">
        <f>IF(基本情報入力シート!AA61="","",基本情報入力シート!AA61)</f>
        <v>1000000</v>
      </c>
      <c r="K31" s="59">
        <f>IF(基本情報入力シート!AD61="","",基本情報入力シート!AD61)</f>
        <v>11.1</v>
      </c>
      <c r="L31" s="58">
        <f>IF(G31="","",VLOOKUP(G31,【参考】数式用!$A$3:$C$46,3,FALSE))</f>
        <v>8.4000000000000005E-2</v>
      </c>
      <c r="M31" s="305">
        <f t="shared" si="0"/>
        <v>932400</v>
      </c>
      <c r="N31" s="271" t="s">
        <v>47</v>
      </c>
      <c r="O31" s="272"/>
      <c r="P31" s="272"/>
      <c r="Q31" s="222"/>
      <c r="R31" s="222" t="s">
        <v>579</v>
      </c>
      <c r="S31" s="225"/>
      <c r="T31" s="61"/>
      <c r="U31" s="1199" t="str">
        <f t="shared" si="2"/>
        <v/>
      </c>
      <c r="V31" s="1199"/>
      <c r="W31" s="1199"/>
      <c r="X31" s="1199"/>
      <c r="Y31" s="1199"/>
      <c r="Z31" s="1199"/>
      <c r="AA31" s="1199"/>
      <c r="AB31" s="1199"/>
      <c r="AC31" s="1199"/>
      <c r="AD31" s="1199"/>
      <c r="AE31" s="119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IF(基本情報入力シート!B62="","",基本情報入力シート!B62)</f>
        <v>1111111128</v>
      </c>
      <c r="C32" s="304" t="str">
        <f>IF(基本情報入力シート!L62="","",基本情報入力シート!L62)</f>
        <v>千代田区</v>
      </c>
      <c r="D32" s="304" t="str">
        <f>IF(基本情報入力シート!Q62="","",基本情報入力シート!Q62)</f>
        <v>東京都</v>
      </c>
      <c r="E32" s="304" t="str">
        <f>IF(基本情報入力シート!V62="","",基本情報入力シート!V62)</f>
        <v>千代田区</v>
      </c>
      <c r="F32" s="304" t="str">
        <f>IF(基本情報入力シート!W62="","",基本情報入力シート!W62)</f>
        <v>○○小多機</v>
      </c>
      <c r="G32" s="304" t="str">
        <f>IF(基本情報入力シート!X62="","",基本情報入力シート!X62)</f>
        <v>介護予防小規模多機能型居宅介護</v>
      </c>
      <c r="H32" s="297" t="str">
        <f>IF(基本情報入力シート!Z62="","",基本情報入力シート!Z62)</f>
        <v>75</v>
      </c>
      <c r="I32" s="298" t="str">
        <f>IF(基本情報入力シート!AE62&lt;&gt;"", 基本情報入力シート!AE62, "")</f>
        <v>○</v>
      </c>
      <c r="J32" s="56">
        <f>IF(基本情報入力シート!AA62="","",基本情報入力シート!AA62)</f>
        <v>1000000</v>
      </c>
      <c r="K32" s="59">
        <f>IF(基本情報入力シート!AD62="","",基本情報入力シート!AD62)</f>
        <v>11.1</v>
      </c>
      <c r="L32" s="58">
        <f>IF(G32="","",VLOOKUP(G32,【参考】数式用!$A$3:$C$46,3,FALSE))</f>
        <v>8.4000000000000005E-2</v>
      </c>
      <c r="M32" s="305">
        <f t="shared" si="0"/>
        <v>932400</v>
      </c>
      <c r="N32" s="271" t="s">
        <v>47</v>
      </c>
      <c r="O32" s="272"/>
      <c r="P32" s="272"/>
      <c r="Q32" s="222"/>
      <c r="R32" s="222" t="s">
        <v>579</v>
      </c>
      <c r="S32" s="225"/>
      <c r="T32" s="61"/>
      <c r="U32" s="1199" t="str">
        <f t="shared" si="2"/>
        <v/>
      </c>
      <c r="V32" s="1199"/>
      <c r="W32" s="1199"/>
      <c r="X32" s="1199"/>
      <c r="Y32" s="1199"/>
      <c r="Z32" s="1199"/>
      <c r="AA32" s="1199"/>
      <c r="AB32" s="1199"/>
      <c r="AC32" s="1199"/>
      <c r="AD32" s="1199"/>
      <c r="AE32" s="119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IF(基本情報入力シート!B63="","",基本情報入力シート!B63)</f>
        <v>1111111129</v>
      </c>
      <c r="C33" s="304" t="str">
        <f>IF(基本情報入力シート!L63="","",基本情報入力シート!L63)</f>
        <v>千代田区</v>
      </c>
      <c r="D33" s="304" t="str">
        <f>IF(基本情報入力シート!Q63="","",基本情報入力シート!Q63)</f>
        <v>東京都</v>
      </c>
      <c r="E33" s="304" t="str">
        <f>IF(基本情報入力シート!V63="","",基本情報入力シート!V63)</f>
        <v>千代田区</v>
      </c>
      <c r="F33" s="304" t="str">
        <f>IF(基本情報入力シート!W63="","",基本情報入力シート!W63)</f>
        <v>○○小多機</v>
      </c>
      <c r="G33" s="304" t="str">
        <f>IF(基本情報入力シート!X63="","",基本情報入力シート!X63)</f>
        <v>介護予防小規模多機能型居宅介護（短期利用型）</v>
      </c>
      <c r="H33" s="297" t="str">
        <f>IF(基本情報入力シート!Z63="","",基本情報入力シート!Z63)</f>
        <v>69</v>
      </c>
      <c r="I33" s="298" t="str">
        <f>IF(基本情報入力シート!AE63&lt;&gt;"", 基本情報入力シート!AE63, "")</f>
        <v>○</v>
      </c>
      <c r="J33" s="56">
        <f>IF(基本情報入力シート!AA63="","",基本情報入力シート!AA63)</f>
        <v>1000000</v>
      </c>
      <c r="K33" s="59">
        <f>IF(基本情報入力シート!AD63="","",基本情報入力シート!AD63)</f>
        <v>11.1</v>
      </c>
      <c r="L33" s="58">
        <f>IF(G33="","",VLOOKUP(G33,【参考】数式用!$A$3:$C$46,3,FALSE))</f>
        <v>8.4000000000000005E-2</v>
      </c>
      <c r="M33" s="305">
        <f t="shared" si="0"/>
        <v>932400</v>
      </c>
      <c r="N33" s="271" t="s">
        <v>47</v>
      </c>
      <c r="O33" s="272"/>
      <c r="P33" s="272"/>
      <c r="Q33" s="222"/>
      <c r="R33" s="222" t="s">
        <v>579</v>
      </c>
      <c r="S33" s="225"/>
      <c r="T33" s="61"/>
      <c r="U33" s="1199" t="str">
        <f t="shared" si="2"/>
        <v/>
      </c>
      <c r="V33" s="1199"/>
      <c r="W33" s="1199"/>
      <c r="X33" s="1199"/>
      <c r="Y33" s="1199"/>
      <c r="Z33" s="1199"/>
      <c r="AA33" s="1199"/>
      <c r="AB33" s="1199"/>
      <c r="AC33" s="1199"/>
      <c r="AD33" s="1199"/>
      <c r="AE33" s="119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IF(基本情報入力シート!B64="","",基本情報入力シート!B64)</f>
        <v>1111111130</v>
      </c>
      <c r="C34" s="304" t="str">
        <f>IF(基本情報入力シート!L64="","",基本情報入力シート!L64)</f>
        <v>千代田区</v>
      </c>
      <c r="D34" s="304" t="str">
        <f>IF(基本情報入力シート!Q64="","",基本情報入力シート!Q64)</f>
        <v>東京都</v>
      </c>
      <c r="E34" s="304" t="str">
        <f>IF(基本情報入力シート!V64="","",基本情報入力シート!V64)</f>
        <v>千代田区</v>
      </c>
      <c r="F34" s="304" t="str">
        <f>IF(基本情報入力シート!W64="","",基本情報入力シート!W64)</f>
        <v>○○看多機</v>
      </c>
      <c r="G34" s="304" t="str">
        <f>IF(基本情報入力シート!X64="","",基本情報入力シート!X64)</f>
        <v>複合型サービス（看護小規模多機能型居宅介護）</v>
      </c>
      <c r="H34" s="297" t="str">
        <f>IF(基本情報入力シート!Z64="","",基本情報入力シート!Z64)</f>
        <v>77</v>
      </c>
      <c r="I34" s="298" t="str">
        <f>IF(基本情報入力シート!AE64&lt;&gt;"", 基本情報入力シート!AE64, "")</f>
        <v>○</v>
      </c>
      <c r="J34" s="56">
        <f>IF(基本情報入力シート!AA64="","",基本情報入力シート!AA64)</f>
        <v>1000000</v>
      </c>
      <c r="K34" s="59">
        <f>IF(基本情報入力シート!AD64="","",基本情報入力シート!AD64)</f>
        <v>11.1</v>
      </c>
      <c r="L34" s="58">
        <f>IF(G34="","",VLOOKUP(G34,【参考】数式用!$A$3:$C$46,3,FALSE))</f>
        <v>8.4000000000000005E-2</v>
      </c>
      <c r="M34" s="305">
        <f t="shared" si="0"/>
        <v>932400</v>
      </c>
      <c r="N34" s="271" t="s">
        <v>47</v>
      </c>
      <c r="O34" s="272"/>
      <c r="P34" s="272"/>
      <c r="Q34" s="222"/>
      <c r="R34" s="222" t="s">
        <v>579</v>
      </c>
      <c r="S34" s="225"/>
      <c r="T34" s="61"/>
      <c r="U34" s="1199" t="str">
        <f t="shared" si="2"/>
        <v/>
      </c>
      <c r="V34" s="1199"/>
      <c r="W34" s="1199"/>
      <c r="X34" s="1199"/>
      <c r="Y34" s="1199"/>
      <c r="Z34" s="1199"/>
      <c r="AA34" s="1199"/>
      <c r="AB34" s="1199"/>
      <c r="AC34" s="1199"/>
      <c r="AD34" s="1199"/>
      <c r="AE34" s="119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IF(基本情報入力シート!B65="","",基本情報入力シート!B65)</f>
        <v>1111111131</v>
      </c>
      <c r="C35" s="304" t="str">
        <f>IF(基本情報入力シート!L65="","",基本情報入力シート!L65)</f>
        <v>千代田区</v>
      </c>
      <c r="D35" s="304" t="str">
        <f>IF(基本情報入力シート!Q65="","",基本情報入力シート!Q65)</f>
        <v>東京都</v>
      </c>
      <c r="E35" s="304" t="str">
        <f>IF(基本情報入力シート!V65="","",基本情報入力シート!V65)</f>
        <v>千代田区</v>
      </c>
      <c r="F35" s="304" t="str">
        <f>IF(基本情報入力シート!W65="","",基本情報入力シート!W65)</f>
        <v>○○看多機</v>
      </c>
      <c r="G35" s="304" t="str">
        <f>IF(基本情報入力シート!X65="","",基本情報入力シート!X65)</f>
        <v>複合型サービス（看護小規模多機能型居宅介護・短期利用型）</v>
      </c>
      <c r="H35" s="297" t="str">
        <f>IF(基本情報入力シート!Z65="","",基本情報入力シート!Z65)</f>
        <v>79</v>
      </c>
      <c r="I35" s="298" t="str">
        <f>IF(基本情報入力シート!AE65&lt;&gt;"", 基本情報入力シート!AE65, "")</f>
        <v>○</v>
      </c>
      <c r="J35" s="56">
        <f>IF(基本情報入力シート!AA65="","",基本情報入力シート!AA65)</f>
        <v>1000000</v>
      </c>
      <c r="K35" s="59">
        <f>IF(基本情報入力シート!AD65="","",基本情報入力シート!AD65)</f>
        <v>11.1</v>
      </c>
      <c r="L35" s="58">
        <f>IF(G35="","",VLOOKUP(G35,【参考】数式用!$A$3:$C$46,3,FALSE))</f>
        <v>8.4000000000000005E-2</v>
      </c>
      <c r="M35" s="305">
        <f t="shared" si="0"/>
        <v>932400</v>
      </c>
      <c r="N35" s="271" t="s">
        <v>47</v>
      </c>
      <c r="O35" s="272"/>
      <c r="P35" s="272"/>
      <c r="Q35" s="222"/>
      <c r="R35" s="222" t="s">
        <v>579</v>
      </c>
      <c r="S35" s="225"/>
      <c r="T35" s="61"/>
      <c r="U35" s="1199" t="str">
        <f t="shared" si="2"/>
        <v/>
      </c>
      <c r="V35" s="1199"/>
      <c r="W35" s="1199"/>
      <c r="X35" s="1199"/>
      <c r="Y35" s="1199"/>
      <c r="Z35" s="1199"/>
      <c r="AA35" s="1199"/>
      <c r="AB35" s="1199"/>
      <c r="AC35" s="1199"/>
      <c r="AD35" s="1199"/>
      <c r="AE35" s="119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IF(基本情報入力シート!B66="","",基本情報入力シート!B66)</f>
        <v>1111111132</v>
      </c>
      <c r="C36" s="304" t="str">
        <f>IF(基本情報入力シート!L66="","",基本情報入力シート!L66)</f>
        <v>千代田区</v>
      </c>
      <c r="D36" s="304" t="str">
        <f>IF(基本情報入力シート!Q66="","",基本情報入力シート!Q66)</f>
        <v>東京都</v>
      </c>
      <c r="E36" s="304" t="str">
        <f>IF(基本情報入力シート!V66="","",基本情報入力シート!V66)</f>
        <v>千代田区</v>
      </c>
      <c r="F36" s="304" t="str">
        <f>IF(基本情報入力シート!W66="","",基本情報入力シート!W66)</f>
        <v>○○GH</v>
      </c>
      <c r="G36" s="304" t="str">
        <f>IF(基本情報入力シート!X66="","",基本情報入力シート!X66)</f>
        <v>認知症対応型共同生活介護</v>
      </c>
      <c r="H36" s="297" t="str">
        <f>IF(基本情報入力シート!Z66="","",基本情報入力シート!Z66)</f>
        <v>32</v>
      </c>
      <c r="I36" s="298" t="str">
        <f>IF(基本情報入力シート!AE66&lt;&gt;"", 基本情報入力シート!AE66, "")</f>
        <v>○</v>
      </c>
      <c r="J36" s="56">
        <f>IF(基本情報入力シート!AA66="","",基本情報入力シート!AA66)</f>
        <v>1000000</v>
      </c>
      <c r="K36" s="59">
        <f>IF(基本情報入力シート!AD66="","",基本情報入力シート!AD66)</f>
        <v>10.9</v>
      </c>
      <c r="L36" s="58">
        <f>IF(G36="","",VLOOKUP(G36,【参考】数式用!$A$3:$C$46,3,FALSE))</f>
        <v>0.113</v>
      </c>
      <c r="M36" s="305">
        <f t="shared" si="0"/>
        <v>1231700</v>
      </c>
      <c r="N36" s="271" t="s">
        <v>47</v>
      </c>
      <c r="O36" s="272"/>
      <c r="P36" s="272"/>
      <c r="Q36" s="222"/>
      <c r="R36" s="222" t="s">
        <v>579</v>
      </c>
      <c r="S36" s="225"/>
      <c r="T36" s="61"/>
      <c r="U36" s="1199" t="str">
        <f t="shared" si="2"/>
        <v/>
      </c>
      <c r="V36" s="1199"/>
      <c r="W36" s="1199"/>
      <c r="X36" s="1199"/>
      <c r="Y36" s="1199"/>
      <c r="Z36" s="1199"/>
      <c r="AA36" s="1199"/>
      <c r="AB36" s="1199"/>
      <c r="AC36" s="1199"/>
      <c r="AD36" s="1199"/>
      <c r="AE36" s="119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IF(基本情報入力シート!B67="","",基本情報入力シート!B67)</f>
        <v>1111111133</v>
      </c>
      <c r="C37" s="304" t="str">
        <f>IF(基本情報入力シート!L67="","",基本情報入力シート!L67)</f>
        <v>千代田区</v>
      </c>
      <c r="D37" s="304" t="str">
        <f>IF(基本情報入力シート!Q67="","",基本情報入力シート!Q67)</f>
        <v>東京都</v>
      </c>
      <c r="E37" s="304" t="str">
        <f>IF(基本情報入力シート!V67="","",基本情報入力シート!V67)</f>
        <v>千代田区</v>
      </c>
      <c r="F37" s="304" t="str">
        <f>IF(基本情報入力シート!W67="","",基本情報入力シート!W67)</f>
        <v>○○GH</v>
      </c>
      <c r="G37" s="304" t="str">
        <f>IF(基本情報入力シート!X67="","",基本情報入力シート!X67)</f>
        <v>認知症対応型共同生活介護（短期利用型）</v>
      </c>
      <c r="H37" s="297" t="str">
        <f>IF(基本情報入力シート!Z67="","",基本情報入力シート!Z67)</f>
        <v>38</v>
      </c>
      <c r="I37" s="298" t="str">
        <f>IF(基本情報入力シート!AE67&lt;&gt;"", 基本情報入力シート!AE67, "")</f>
        <v>○</v>
      </c>
      <c r="J37" s="56">
        <f>IF(基本情報入力シート!AA67="","",基本情報入力シート!AA67)</f>
        <v>1000000</v>
      </c>
      <c r="K37" s="59">
        <f>IF(基本情報入力シート!AD67="","",基本情報入力シート!AD67)</f>
        <v>10.9</v>
      </c>
      <c r="L37" s="58">
        <f>IF(G37="","",VLOOKUP(G37,【参考】数式用!$A$3:$C$46,3,FALSE))</f>
        <v>0.113</v>
      </c>
      <c r="M37" s="305">
        <f t="shared" si="0"/>
        <v>1231700</v>
      </c>
      <c r="N37" s="271" t="s">
        <v>47</v>
      </c>
      <c r="O37" s="272"/>
      <c r="P37" s="272"/>
      <c r="Q37" s="222"/>
      <c r="R37" s="222" t="s">
        <v>579</v>
      </c>
      <c r="S37" s="225"/>
      <c r="T37" s="61"/>
      <c r="U37" s="1199" t="str">
        <f t="shared" si="2"/>
        <v/>
      </c>
      <c r="V37" s="1199"/>
      <c r="W37" s="1199"/>
      <c r="X37" s="1199"/>
      <c r="Y37" s="1199"/>
      <c r="Z37" s="1199"/>
      <c r="AA37" s="1199"/>
      <c r="AB37" s="1199"/>
      <c r="AC37" s="1199"/>
      <c r="AD37" s="1199"/>
      <c r="AE37" s="119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IF(基本情報入力シート!B68="","",基本情報入力シート!B68)</f>
        <v>1111111134</v>
      </c>
      <c r="C38" s="304" t="str">
        <f>IF(基本情報入力シート!L68="","",基本情報入力シート!L68)</f>
        <v>千代田区</v>
      </c>
      <c r="D38" s="304" t="str">
        <f>IF(基本情報入力シート!Q68="","",基本情報入力シート!Q68)</f>
        <v>東京都</v>
      </c>
      <c r="E38" s="304" t="str">
        <f>IF(基本情報入力シート!V68="","",基本情報入力シート!V68)</f>
        <v>千代田区</v>
      </c>
      <c r="F38" s="304" t="str">
        <f>IF(基本情報入力シート!W68="","",基本情報入力シート!W68)</f>
        <v>○○GH</v>
      </c>
      <c r="G38" s="304" t="str">
        <f>IF(基本情報入力シート!X68="","",基本情報入力シート!X68)</f>
        <v>介護予防認知症対応型共同生活介護</v>
      </c>
      <c r="H38" s="297" t="str">
        <f>IF(基本情報入力シート!Z68="","",基本情報入力シート!Z68)</f>
        <v>37</v>
      </c>
      <c r="I38" s="298" t="str">
        <f>IF(基本情報入力シート!AE68&lt;&gt;"", 基本情報入力シート!AE68, "")</f>
        <v>○</v>
      </c>
      <c r="J38" s="56">
        <f>IF(基本情報入力シート!AA68="","",基本情報入力シート!AA68)</f>
        <v>1000000</v>
      </c>
      <c r="K38" s="59">
        <f>IF(基本情報入力シート!AD68="","",基本情報入力シート!AD68)</f>
        <v>10.9</v>
      </c>
      <c r="L38" s="58">
        <f>IF(G38="","",VLOOKUP(G38,【参考】数式用!$A$3:$C$46,3,FALSE))</f>
        <v>0.113</v>
      </c>
      <c r="M38" s="305">
        <f t="shared" si="0"/>
        <v>1231700</v>
      </c>
      <c r="N38" s="271" t="s">
        <v>47</v>
      </c>
      <c r="O38" s="272"/>
      <c r="P38" s="272"/>
      <c r="Q38" s="222"/>
      <c r="R38" s="222" t="s">
        <v>579</v>
      </c>
      <c r="S38" s="225"/>
      <c r="T38" s="61"/>
      <c r="U38" s="1199" t="str">
        <f t="shared" si="2"/>
        <v/>
      </c>
      <c r="V38" s="1199"/>
      <c r="W38" s="1199"/>
      <c r="X38" s="1199"/>
      <c r="Y38" s="1199"/>
      <c r="Z38" s="1199"/>
      <c r="AA38" s="1199"/>
      <c r="AB38" s="1199"/>
      <c r="AC38" s="1199"/>
      <c r="AD38" s="1199"/>
      <c r="AE38" s="119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IF(基本情報入力シート!B69="","",基本情報入力シート!B69)</f>
        <v>1111111135</v>
      </c>
      <c r="C39" s="304" t="str">
        <f>IF(基本情報入力シート!L69="","",基本情報入力シート!L69)</f>
        <v>千代田区</v>
      </c>
      <c r="D39" s="304" t="str">
        <f>IF(基本情報入力シート!Q69="","",基本情報入力シート!Q69)</f>
        <v>東京都</v>
      </c>
      <c r="E39" s="304" t="str">
        <f>IF(基本情報入力シート!V69="","",基本情報入力シート!V69)</f>
        <v>千代田区</v>
      </c>
      <c r="F39" s="304" t="str">
        <f>IF(基本情報入力シート!W69="","",基本情報入力シート!W69)</f>
        <v>○○GH</v>
      </c>
      <c r="G39" s="304" t="str">
        <f>IF(基本情報入力シート!X69="","",基本情報入力シート!X69)</f>
        <v>介護予防認知症対応型共同生活介護（短期利用型）</v>
      </c>
      <c r="H39" s="297" t="str">
        <f>IF(基本情報入力シート!Z69="","",基本情報入力シート!Z69)</f>
        <v>39</v>
      </c>
      <c r="I39" s="298" t="str">
        <f>IF(基本情報入力シート!AE69&lt;&gt;"", 基本情報入力シート!AE69, "")</f>
        <v>○</v>
      </c>
      <c r="J39" s="56">
        <f>IF(基本情報入力シート!AA69="","",基本情報入力シート!AA69)</f>
        <v>1000000</v>
      </c>
      <c r="K39" s="59">
        <f>IF(基本情報入力シート!AD69="","",基本情報入力シート!AD69)</f>
        <v>10.9</v>
      </c>
      <c r="L39" s="58">
        <f>IF(G39="","",VLOOKUP(G39,【参考】数式用!$A$3:$C$46,3,FALSE))</f>
        <v>0.113</v>
      </c>
      <c r="M39" s="305">
        <f t="shared" si="0"/>
        <v>1231700</v>
      </c>
      <c r="N39" s="271" t="s">
        <v>47</v>
      </c>
      <c r="O39" s="272"/>
      <c r="P39" s="272"/>
      <c r="Q39" s="222"/>
      <c r="R39" s="222" t="s">
        <v>579</v>
      </c>
      <c r="S39" s="225"/>
      <c r="T39" s="61"/>
      <c r="U39" s="1199" t="str">
        <f t="shared" si="2"/>
        <v/>
      </c>
      <c r="V39" s="1199"/>
      <c r="W39" s="1199"/>
      <c r="X39" s="1199"/>
      <c r="Y39" s="1199"/>
      <c r="Z39" s="1199"/>
      <c r="AA39" s="1199"/>
      <c r="AB39" s="1199"/>
      <c r="AC39" s="1199"/>
      <c r="AD39" s="1199"/>
      <c r="AE39" s="119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IF(基本情報入力シート!B70="","",基本情報入力シート!B70)</f>
        <v>1111111136</v>
      </c>
      <c r="C40" s="304" t="str">
        <f>IF(基本情報入力シート!L70="","",基本情報入力シート!L70)</f>
        <v>東京都</v>
      </c>
      <c r="D40" s="304" t="str">
        <f>IF(基本情報入力シート!Q70="","",基本情報入力シート!Q70)</f>
        <v>東京都</v>
      </c>
      <c r="E40" s="304" t="str">
        <f>IF(基本情報入力シート!V70="","",基本情報入力シート!V70)</f>
        <v>千代田区</v>
      </c>
      <c r="F40" s="304" t="str">
        <f>IF(基本情報入力シート!W70="","",基本情報入力シート!W70)</f>
        <v>○○施設</v>
      </c>
      <c r="G40" s="304" t="str">
        <f>IF(基本情報入力シート!X70="","",基本情報入力シート!X70)</f>
        <v>介護老人福祉施設サービス</v>
      </c>
      <c r="H40" s="297" t="str">
        <f>IF(基本情報入力シート!Z70="","",基本情報入力シート!Z70)</f>
        <v>51</v>
      </c>
      <c r="I40" s="298" t="str">
        <f>IF(基本情報入力シート!AE70&lt;&gt;"", 基本情報入力シート!AE70, "")</f>
        <v>○</v>
      </c>
      <c r="J40" s="56">
        <f>IF(基本情報入力シート!AA70="","",基本情報入力シート!AA70)</f>
        <v>1000000</v>
      </c>
      <c r="K40" s="59">
        <f>IF(基本情報入力シート!AD70="","",基本情報入力シート!AD70)</f>
        <v>10.9</v>
      </c>
      <c r="L40" s="58">
        <f>IF(G40="","",VLOOKUP(G40,【参考】数式用!$A$3:$C$46,3,FALSE))</f>
        <v>8.3000000000000004E-2</v>
      </c>
      <c r="M40" s="305">
        <f t="shared" si="0"/>
        <v>904700</v>
      </c>
      <c r="N40" s="271" t="s">
        <v>47</v>
      </c>
      <c r="O40" s="272"/>
      <c r="P40" s="272"/>
      <c r="Q40" s="222"/>
      <c r="R40" s="222" t="s">
        <v>579</v>
      </c>
      <c r="S40" s="225"/>
      <c r="T40" s="61"/>
      <c r="U40" s="1199" t="str">
        <f t="shared" si="2"/>
        <v/>
      </c>
      <c r="V40" s="1199"/>
      <c r="W40" s="1199"/>
      <c r="X40" s="1199"/>
      <c r="Y40" s="1199"/>
      <c r="Z40" s="1199"/>
      <c r="AA40" s="1199"/>
      <c r="AB40" s="1199"/>
      <c r="AC40" s="1199"/>
      <c r="AD40" s="1199"/>
      <c r="AE40" s="119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IF(基本情報入力シート!B71="","",基本情報入力シート!B71)</f>
        <v>1111111137</v>
      </c>
      <c r="C41" s="304" t="str">
        <f>IF(基本情報入力シート!L71="","",基本情報入力シート!L71)</f>
        <v>千代田区</v>
      </c>
      <c r="D41" s="304" t="str">
        <f>IF(基本情報入力シート!Q71="","",基本情報入力シート!Q71)</f>
        <v>東京都</v>
      </c>
      <c r="E41" s="304" t="str">
        <f>IF(基本情報入力シート!V71="","",基本情報入力シート!V71)</f>
        <v>千代田区</v>
      </c>
      <c r="F41" s="304" t="str">
        <f>IF(基本情報入力シート!W71="","",基本情報入力シート!W71)</f>
        <v>○○施設</v>
      </c>
      <c r="G41" s="304" t="str">
        <f>IF(基本情報入力シート!X71="","",基本情報入力シート!X71)</f>
        <v>地域密着型介護老人福祉施設</v>
      </c>
      <c r="H41" s="297" t="str">
        <f>IF(基本情報入力シート!Z71="","",基本情報入力シート!Z71)</f>
        <v>54</v>
      </c>
      <c r="I41" s="298" t="str">
        <f>IF(基本情報入力シート!AE71&lt;&gt;"", 基本情報入力シート!AE71, "")</f>
        <v>○</v>
      </c>
      <c r="J41" s="56">
        <f>IF(基本情報入力シート!AA71="","",基本情報入力シート!AA71)</f>
        <v>1000000</v>
      </c>
      <c r="K41" s="59">
        <f>IF(基本情報入力シート!AD71="","",基本情報入力シート!AD71)</f>
        <v>10.9</v>
      </c>
      <c r="L41" s="58">
        <f>IF(G41="","",VLOOKUP(G41,【参考】数式用!$A$3:$C$46,3,FALSE))</f>
        <v>8.3000000000000004E-2</v>
      </c>
      <c r="M41" s="305">
        <f t="shared" si="0"/>
        <v>904700</v>
      </c>
      <c r="N41" s="271" t="s">
        <v>47</v>
      </c>
      <c r="O41" s="272"/>
      <c r="P41" s="272"/>
      <c r="Q41" s="222"/>
      <c r="R41" s="222" t="s">
        <v>579</v>
      </c>
      <c r="S41" s="225"/>
      <c r="T41" s="61"/>
      <c r="U41" s="1199" t="str">
        <f t="shared" si="2"/>
        <v/>
      </c>
      <c r="V41" s="1199"/>
      <c r="W41" s="1199"/>
      <c r="X41" s="1199"/>
      <c r="Y41" s="1199"/>
      <c r="Z41" s="1199"/>
      <c r="AA41" s="1199"/>
      <c r="AB41" s="1199"/>
      <c r="AC41" s="1199"/>
      <c r="AD41" s="1199"/>
      <c r="AE41" s="119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IF(基本情報入力シート!B72="","",基本情報入力シート!B72)</f>
        <v>1111111138</v>
      </c>
      <c r="C42" s="304" t="str">
        <f>IF(基本情報入力シート!L72="","",基本情報入力シート!L72)</f>
        <v>東京都</v>
      </c>
      <c r="D42" s="304" t="str">
        <f>IF(基本情報入力シート!Q72="","",基本情報入力シート!Q72)</f>
        <v>東京都</v>
      </c>
      <c r="E42" s="304" t="str">
        <f>IF(基本情報入力シート!V72="","",基本情報入力シート!V72)</f>
        <v>千代田区</v>
      </c>
      <c r="F42" s="304" t="str">
        <f>IF(基本情報入力シート!W72="","",基本情報入力シート!W72)</f>
        <v>○○施設</v>
      </c>
      <c r="G42" s="304" t="str">
        <f>IF(基本情報入力シート!X72="","",基本情報入力シート!X72)</f>
        <v>短期入所生活介護</v>
      </c>
      <c r="H42" s="297" t="str">
        <f>IF(基本情報入力シート!Z72="","",基本情報入力シート!Z72)</f>
        <v>21</v>
      </c>
      <c r="I42" s="298" t="str">
        <f>IF(基本情報入力シート!AE72&lt;&gt;"", 基本情報入力シート!AE72, "")</f>
        <v>○</v>
      </c>
      <c r="J42" s="56">
        <f>IF(基本情報入力シート!AA72="","",基本情報入力シート!AA72)</f>
        <v>1000000</v>
      </c>
      <c r="K42" s="59">
        <f>IF(基本情報入力シート!AD72="","",基本情報入力シート!AD72)</f>
        <v>11.1</v>
      </c>
      <c r="L42" s="58">
        <f>IF(G42="","",VLOOKUP(G42,【参考】数式用!$A$3:$C$46,3,FALSE))</f>
        <v>8.3000000000000004E-2</v>
      </c>
      <c r="M42" s="305">
        <f t="shared" si="0"/>
        <v>921300</v>
      </c>
      <c r="N42" s="271" t="s">
        <v>47</v>
      </c>
      <c r="O42" s="272"/>
      <c r="P42" s="272"/>
      <c r="Q42" s="222"/>
      <c r="R42" s="222" t="s">
        <v>579</v>
      </c>
      <c r="S42" s="225"/>
      <c r="T42" s="61"/>
      <c r="U42" s="1199" t="str">
        <f t="shared" si="2"/>
        <v/>
      </c>
      <c r="V42" s="1199"/>
      <c r="W42" s="1199"/>
      <c r="X42" s="1199"/>
      <c r="Y42" s="1199"/>
      <c r="Z42" s="1199"/>
      <c r="AA42" s="1199"/>
      <c r="AB42" s="1199"/>
      <c r="AC42" s="1199"/>
      <c r="AD42" s="1199"/>
      <c r="AE42" s="119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IF(基本情報入力シート!B73="","",基本情報入力シート!B73)</f>
        <v>1111111139</v>
      </c>
      <c r="C43" s="304" t="str">
        <f>IF(基本情報入力シート!L73="","",基本情報入力シート!L73)</f>
        <v>東京都</v>
      </c>
      <c r="D43" s="304" t="str">
        <f>IF(基本情報入力シート!Q73="","",基本情報入力シート!Q73)</f>
        <v>東京都</v>
      </c>
      <c r="E43" s="304" t="str">
        <f>IF(基本情報入力シート!V73="","",基本情報入力シート!V73)</f>
        <v>千代田区</v>
      </c>
      <c r="F43" s="304" t="str">
        <f>IF(基本情報入力シート!W73="","",基本情報入力シート!W73)</f>
        <v>○○施設</v>
      </c>
      <c r="G43" s="304" t="str">
        <f>IF(基本情報入力シート!X73="","",基本情報入力シート!X73)</f>
        <v>介護予防短期入所生活介護</v>
      </c>
      <c r="H43" s="297" t="str">
        <f>IF(基本情報入力シート!Z73="","",基本情報入力シート!Z73)</f>
        <v>24</v>
      </c>
      <c r="I43" s="298" t="str">
        <f>IF(基本情報入力シート!AE73&lt;&gt;"", 基本情報入力シート!AE73, "")</f>
        <v>○</v>
      </c>
      <c r="J43" s="56">
        <f>IF(基本情報入力シート!AA73="","",基本情報入力シート!AA73)</f>
        <v>1000000</v>
      </c>
      <c r="K43" s="59">
        <f>IF(基本情報入力シート!AD73="","",基本情報入力シート!AD73)</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99" t="str">
        <f t="shared" si="2"/>
        <v/>
      </c>
      <c r="V43" s="1199"/>
      <c r="W43" s="1199"/>
      <c r="X43" s="1199"/>
      <c r="Y43" s="1199"/>
      <c r="Z43" s="1199"/>
      <c r="AA43" s="1199"/>
      <c r="AB43" s="1199"/>
      <c r="AC43" s="1199"/>
      <c r="AD43" s="1199"/>
      <c r="AE43" s="119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IF(基本情報入力シート!B74="","",基本情報入力シート!B74)</f>
        <v>1111111140</v>
      </c>
      <c r="C44" s="304" t="str">
        <f>IF(基本情報入力シート!L74="","",基本情報入力シート!L74)</f>
        <v>東京都</v>
      </c>
      <c r="D44" s="304" t="str">
        <f>IF(基本情報入力シート!Q74="","",基本情報入力シート!Q74)</f>
        <v>東京都</v>
      </c>
      <c r="E44" s="304" t="str">
        <f>IF(基本情報入力シート!V74="","",基本情報入力シート!V74)</f>
        <v>千代田区</v>
      </c>
      <c r="F44" s="304" t="str">
        <f>IF(基本情報入力シート!W74="","",基本情報入力シート!W74)</f>
        <v>○○施設</v>
      </c>
      <c r="G44" s="304" t="str">
        <f>IF(基本情報入力シート!X74="","",基本情報入力シート!X74)</f>
        <v>介護老人保健施設サービス</v>
      </c>
      <c r="H44" s="297" t="str">
        <f>IF(基本情報入力シート!Z74="","",基本情報入力シート!Z74)</f>
        <v>52</v>
      </c>
      <c r="I44" s="298" t="str">
        <f>IF(基本情報入力シート!AE74&lt;&gt;"", 基本情報入力シート!AE74, "")</f>
        <v>○</v>
      </c>
      <c r="J44" s="56">
        <f>IF(基本情報入力シート!AA74="","",基本情報入力シート!AA74)</f>
        <v>1000000</v>
      </c>
      <c r="K44" s="59">
        <f>IF(基本情報入力シート!AD74="","",基本情報入力シート!AD74)</f>
        <v>10.9</v>
      </c>
      <c r="L44" s="58">
        <f>IF(G44="","",VLOOKUP(G44,【参考】数式用!$A$3:$C$46,3,FALSE))</f>
        <v>4.2999999999999997E-2</v>
      </c>
      <c r="M44" s="305">
        <f t="shared" si="7"/>
        <v>468700</v>
      </c>
      <c r="N44" s="271" t="s">
        <v>47</v>
      </c>
      <c r="O44" s="272"/>
      <c r="P44" s="272"/>
      <c r="Q44" s="222"/>
      <c r="R44" s="222" t="s">
        <v>579</v>
      </c>
      <c r="S44" s="225"/>
      <c r="T44" s="61"/>
      <c r="U44" s="1199" t="str">
        <f t="shared" si="2"/>
        <v/>
      </c>
      <c r="V44" s="1199"/>
      <c r="W44" s="1199"/>
      <c r="X44" s="1199"/>
      <c r="Y44" s="1199"/>
      <c r="Z44" s="1199"/>
      <c r="AA44" s="1199"/>
      <c r="AB44" s="1199"/>
      <c r="AC44" s="1199"/>
      <c r="AD44" s="1199"/>
      <c r="AE44" s="119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IF(基本情報入力シート!B75="","",基本情報入力シート!B75)</f>
        <v>1111111141</v>
      </c>
      <c r="C45" s="304" t="str">
        <f>IF(基本情報入力シート!L75="","",基本情報入力シート!L75)</f>
        <v>東京都</v>
      </c>
      <c r="D45" s="304" t="str">
        <f>IF(基本情報入力シート!Q75="","",基本情報入力シート!Q75)</f>
        <v>東京都</v>
      </c>
      <c r="E45" s="304" t="str">
        <f>IF(基本情報入力シート!V75="","",基本情報入力シート!V75)</f>
        <v>千代田区</v>
      </c>
      <c r="F45" s="304" t="str">
        <f>IF(基本情報入力シート!W75="","",基本情報入力シート!W75)</f>
        <v>○○施設</v>
      </c>
      <c r="G45" s="304" t="str">
        <f>IF(基本情報入力シート!X75="","",基本情報入力シート!X75)</f>
        <v>短期入所療養介護（介護老人保健施設）</v>
      </c>
      <c r="H45" s="297" t="str">
        <f>IF(基本情報入力シート!Z75="","",基本情報入力シート!Z75)</f>
        <v>22</v>
      </c>
      <c r="I45" s="298" t="str">
        <f>IF(基本情報入力シート!AE75&lt;&gt;"", 基本情報入力シート!AE75, "")</f>
        <v>○</v>
      </c>
      <c r="J45" s="56">
        <f>IF(基本情報入力シート!AA75="","",基本情報入力シート!AA75)</f>
        <v>1000000</v>
      </c>
      <c r="K45" s="59">
        <f>IF(基本情報入力シート!AD75="","",基本情報入力シート!AD75)</f>
        <v>10.9</v>
      </c>
      <c r="L45" s="58">
        <f>IF(G45="","",VLOOKUP(G45,【参考】数式用!$A$3:$C$46,3,FALSE))</f>
        <v>4.2999999999999997E-2</v>
      </c>
      <c r="M45" s="305">
        <f t="shared" si="7"/>
        <v>468700</v>
      </c>
      <c r="N45" s="271" t="s">
        <v>47</v>
      </c>
      <c r="O45" s="272"/>
      <c r="P45" s="272"/>
      <c r="Q45" s="222"/>
      <c r="R45" s="222" t="s">
        <v>579</v>
      </c>
      <c r="S45" s="225"/>
      <c r="T45" s="61"/>
      <c r="U45" s="1199" t="str">
        <f t="shared" si="2"/>
        <v/>
      </c>
      <c r="V45" s="1199"/>
      <c r="W45" s="1199"/>
      <c r="X45" s="1199"/>
      <c r="Y45" s="1199"/>
      <c r="Z45" s="1199"/>
      <c r="AA45" s="1199"/>
      <c r="AB45" s="1199"/>
      <c r="AC45" s="1199"/>
      <c r="AD45" s="1199"/>
      <c r="AE45" s="119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IF(基本情報入力シート!B76="","",基本情報入力シート!B76)</f>
        <v>1111111142</v>
      </c>
      <c r="C46" s="304" t="str">
        <f>IF(基本情報入力シート!L76="","",基本情報入力シート!L76)</f>
        <v>東京都</v>
      </c>
      <c r="D46" s="304" t="str">
        <f>IF(基本情報入力シート!Q76="","",基本情報入力シート!Q76)</f>
        <v>東京都</v>
      </c>
      <c r="E46" s="304" t="str">
        <f>IF(基本情報入力シート!V76="","",基本情報入力シート!V76)</f>
        <v>千代田区</v>
      </c>
      <c r="F46" s="304" t="str">
        <f>IF(基本情報入力シート!W76="","",基本情報入力シート!W76)</f>
        <v>○○施設</v>
      </c>
      <c r="G46" s="304" t="str">
        <f>IF(基本情報入力シート!X76="","",基本情報入力シート!X76)</f>
        <v>介護予防短期入所療養介護（介護老人保健施設）</v>
      </c>
      <c r="H46" s="297" t="str">
        <f>IF(基本情報入力シート!Z76="","",基本情報入力シート!Z76)</f>
        <v>25</v>
      </c>
      <c r="I46" s="298" t="str">
        <f>IF(基本情報入力シート!AE76&lt;&gt;"", 基本情報入力シート!AE76, "")</f>
        <v>○</v>
      </c>
      <c r="J46" s="56">
        <f>IF(基本情報入力シート!AA76="","",基本情報入力シート!AA76)</f>
        <v>1000000</v>
      </c>
      <c r="K46" s="59">
        <f>IF(基本情報入力シート!AD76="","",基本情報入力シート!AD76)</f>
        <v>10.9</v>
      </c>
      <c r="L46" s="58">
        <f>IF(G46="","",VLOOKUP(G46,【参考】数式用!$A$3:$C$46,3,FALSE))</f>
        <v>4.2999999999999997E-2</v>
      </c>
      <c r="M46" s="305">
        <f t="shared" si="7"/>
        <v>468700</v>
      </c>
      <c r="N46" s="271" t="s">
        <v>47</v>
      </c>
      <c r="O46" s="272"/>
      <c r="P46" s="272"/>
      <c r="Q46" s="222"/>
      <c r="R46" s="222" t="s">
        <v>579</v>
      </c>
      <c r="S46" s="225"/>
      <c r="T46" s="61"/>
      <c r="U46" s="1199" t="str">
        <f t="shared" si="2"/>
        <v/>
      </c>
      <c r="V46" s="1199"/>
      <c r="W46" s="1199"/>
      <c r="X46" s="1199"/>
      <c r="Y46" s="1199"/>
      <c r="Z46" s="1199"/>
      <c r="AA46" s="1199"/>
      <c r="AB46" s="1199"/>
      <c r="AC46" s="1199"/>
      <c r="AD46" s="1199"/>
      <c r="AE46" s="119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IF(基本情報入力シート!B77="","",基本情報入力シート!B77)</f>
        <v>1111111143</v>
      </c>
      <c r="C47" s="304" t="str">
        <f>IF(基本情報入力シート!L77="","",基本情報入力シート!L77)</f>
        <v>東京都</v>
      </c>
      <c r="D47" s="304" t="str">
        <f>IF(基本情報入力シート!Q77="","",基本情報入力シート!Q77)</f>
        <v>東京都</v>
      </c>
      <c r="E47" s="304" t="str">
        <f>IF(基本情報入力シート!V77="","",基本情報入力シート!V77)</f>
        <v>千代田区</v>
      </c>
      <c r="F47" s="304" t="str">
        <f>IF(基本情報入力シート!W77="","",基本情報入力シート!W77)</f>
        <v>○○施設</v>
      </c>
      <c r="G47" s="304" t="str">
        <f>IF(基本情報入力シート!X77="","",基本情報入力シート!X77)</f>
        <v>短期入所療養介護 （病院等（老健以外）)</v>
      </c>
      <c r="H47" s="297" t="str">
        <f>IF(基本情報入力シート!Z77="","",基本情報入力シート!Z77)</f>
        <v>23</v>
      </c>
      <c r="I47" s="298" t="str">
        <f>IF(基本情報入力シート!AE77&lt;&gt;"", 基本情報入力シート!AE77, "")</f>
        <v>○</v>
      </c>
      <c r="J47" s="56">
        <f>IF(基本情報入力シート!AA77="","",基本情報入力シート!AA77)</f>
        <v>1000000</v>
      </c>
      <c r="K47" s="59">
        <f>IF(基本情報入力シート!AD77="","",基本情報入力シート!AD77)</f>
        <v>10.9</v>
      </c>
      <c r="L47" s="58">
        <f>IF(G47="","",VLOOKUP(G47,【参考】数式用!$A$3:$C$46,3,FALSE))</f>
        <v>2.7E-2</v>
      </c>
      <c r="M47" s="305">
        <f t="shared" si="7"/>
        <v>294300</v>
      </c>
      <c r="N47" s="271" t="s">
        <v>47</v>
      </c>
      <c r="O47" s="272"/>
      <c r="P47" s="272"/>
      <c r="Q47" s="222"/>
      <c r="R47" s="222" t="s">
        <v>579</v>
      </c>
      <c r="S47" s="225"/>
      <c r="T47" s="61"/>
      <c r="U47" s="1199" t="str">
        <f t="shared" si="2"/>
        <v/>
      </c>
      <c r="V47" s="1199"/>
      <c r="W47" s="1199"/>
      <c r="X47" s="1199"/>
      <c r="Y47" s="1199"/>
      <c r="Z47" s="1199"/>
      <c r="AA47" s="1199"/>
      <c r="AB47" s="1199"/>
      <c r="AC47" s="1199"/>
      <c r="AD47" s="1199"/>
      <c r="AE47" s="119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IF(基本情報入力シート!B78="","",基本情報入力シート!B78)</f>
        <v>1111111144</v>
      </c>
      <c r="C48" s="304" t="str">
        <f>IF(基本情報入力シート!L78="","",基本情報入力シート!L78)</f>
        <v>東京都</v>
      </c>
      <c r="D48" s="304" t="str">
        <f>IF(基本情報入力シート!Q78="","",基本情報入力シート!Q78)</f>
        <v>東京都</v>
      </c>
      <c r="E48" s="304" t="str">
        <f>IF(基本情報入力シート!V78="","",基本情報入力シート!V78)</f>
        <v>千代田区</v>
      </c>
      <c r="F48" s="304" t="str">
        <f>IF(基本情報入力シート!W78="","",基本情報入力シート!W78)</f>
        <v>○○施設</v>
      </c>
      <c r="G48" s="304" t="str">
        <f>IF(基本情報入力シート!X78="","",基本情報入力シート!X78)</f>
        <v>介護予防短期入所療養介護 （病院等（老健以外）)</v>
      </c>
      <c r="H48" s="297" t="str">
        <f>IF(基本情報入力シート!Z78="","",基本情報入力シート!Z78)</f>
        <v>26</v>
      </c>
      <c r="I48" s="298" t="str">
        <f>IF(基本情報入力シート!AE78&lt;&gt;"", 基本情報入力シート!AE78, "")</f>
        <v>○</v>
      </c>
      <c r="J48" s="56">
        <f>IF(基本情報入力シート!AA78="","",基本情報入力シート!AA78)</f>
        <v>1000000</v>
      </c>
      <c r="K48" s="59">
        <f>IF(基本情報入力シート!AD78="","",基本情報入力シート!AD78)</f>
        <v>10.9</v>
      </c>
      <c r="L48" s="58">
        <f>IF(G48="","",VLOOKUP(G48,【参考】数式用!$A$3:$C$46,3,FALSE))</f>
        <v>2.7E-2</v>
      </c>
      <c r="M48" s="305">
        <f t="shared" si="7"/>
        <v>294300</v>
      </c>
      <c r="N48" s="271" t="s">
        <v>47</v>
      </c>
      <c r="O48" s="272"/>
      <c r="P48" s="272"/>
      <c r="Q48" s="222"/>
      <c r="R48" s="222" t="s">
        <v>579</v>
      </c>
      <c r="S48" s="225"/>
      <c r="T48" s="61"/>
      <c r="U48" s="1199" t="str">
        <f t="shared" si="2"/>
        <v/>
      </c>
      <c r="V48" s="1199"/>
      <c r="W48" s="1199"/>
      <c r="X48" s="1199"/>
      <c r="Y48" s="1199"/>
      <c r="Z48" s="1199"/>
      <c r="AA48" s="1199"/>
      <c r="AB48" s="1199"/>
      <c r="AC48" s="1199"/>
      <c r="AD48" s="1199"/>
      <c r="AE48" s="119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IF(基本情報入力シート!B79="","",基本情報入力シート!B79)</f>
        <v>1111111145</v>
      </c>
      <c r="C49" s="304" t="str">
        <f>IF(基本情報入力シート!L79="","",基本情報入力シート!L79)</f>
        <v>東京都</v>
      </c>
      <c r="D49" s="304" t="str">
        <f>IF(基本情報入力シート!Q79="","",基本情報入力シート!Q79)</f>
        <v>東京都</v>
      </c>
      <c r="E49" s="304" t="str">
        <f>IF(基本情報入力シート!V79="","",基本情報入力シート!V79)</f>
        <v>千代田区</v>
      </c>
      <c r="F49" s="304" t="str">
        <f>IF(基本情報入力シート!W79="","",基本情報入力シート!W79)</f>
        <v>○○施設</v>
      </c>
      <c r="G49" s="304" t="str">
        <f>IF(基本情報入力シート!X79="","",基本情報入力シート!X79)</f>
        <v>介護医療院サービス</v>
      </c>
      <c r="H49" s="297" t="str">
        <f>IF(基本情報入力シート!Z79="","",基本情報入力シート!Z79)</f>
        <v>55</v>
      </c>
      <c r="I49" s="298" t="str">
        <f>IF(基本情報入力シート!AE79&lt;&gt;"", 基本情報入力シート!AE79, "")</f>
        <v>○</v>
      </c>
      <c r="J49" s="56">
        <f>IF(基本情報入力シート!AA79="","",基本情報入力シート!AA79)</f>
        <v>1000000</v>
      </c>
      <c r="K49" s="59">
        <f>IF(基本情報入力シート!AD79="","",基本情報入力シート!AD79)</f>
        <v>10.9</v>
      </c>
      <c r="L49" s="58">
        <f>IF(G49="","",VLOOKUP(G49,【参考】数式用!$A$3:$C$46,3,FALSE))</f>
        <v>2.7E-2</v>
      </c>
      <c r="M49" s="305">
        <f t="shared" si="7"/>
        <v>294300</v>
      </c>
      <c r="N49" s="271" t="s">
        <v>47</v>
      </c>
      <c r="O49" s="272"/>
      <c r="P49" s="272"/>
      <c r="Q49" s="222"/>
      <c r="R49" s="222" t="s">
        <v>579</v>
      </c>
      <c r="S49" s="225"/>
      <c r="T49" s="61"/>
      <c r="U49" s="1199" t="str">
        <f t="shared" si="2"/>
        <v/>
      </c>
      <c r="V49" s="1199"/>
      <c r="W49" s="1199"/>
      <c r="X49" s="1199"/>
      <c r="Y49" s="1199"/>
      <c r="Z49" s="1199"/>
      <c r="AA49" s="1199"/>
      <c r="AB49" s="1199"/>
      <c r="AC49" s="1199"/>
      <c r="AD49" s="1199"/>
      <c r="AE49" s="119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IF(基本情報入力シート!B80="","",基本情報入力シート!B80)</f>
        <v>1111111146</v>
      </c>
      <c r="C50" s="304" t="str">
        <f>IF(基本情報入力シート!L80="","",基本情報入力シート!L80)</f>
        <v>東京都</v>
      </c>
      <c r="D50" s="304" t="str">
        <f>IF(基本情報入力シート!Q80="","",基本情報入力シート!Q80)</f>
        <v>東京都</v>
      </c>
      <c r="E50" s="304" t="str">
        <f>IF(基本情報入力シート!V80="","",基本情報入力シート!V80)</f>
        <v>千代田区</v>
      </c>
      <c r="F50" s="304" t="str">
        <f>IF(基本情報入力シート!W80="","",基本情報入力シート!W80)</f>
        <v>○○施設</v>
      </c>
      <c r="G50" s="304" t="str">
        <f>IF(基本情報入力シート!X80="","",基本情報入力シート!X80)</f>
        <v>短期入所療養介護（介護医療院）</v>
      </c>
      <c r="H50" s="297" t="str">
        <f>IF(基本情報入力シート!Z80="","",基本情報入力シート!Z80)</f>
        <v>2A</v>
      </c>
      <c r="I50" s="298" t="str">
        <f>IF(基本情報入力シート!AE80&lt;&gt;"", 基本情報入力シート!AE80, "")</f>
        <v>○</v>
      </c>
      <c r="J50" s="56">
        <f>IF(基本情報入力シート!AA80="","",基本情報入力シート!AA80)</f>
        <v>1000000</v>
      </c>
      <c r="K50" s="59">
        <f>IF(基本情報入力シート!AD80="","",基本情報入力シート!AD80)</f>
        <v>10.9</v>
      </c>
      <c r="L50" s="58">
        <f>IF(G50="","",VLOOKUP(G50,【参考】数式用!$A$3:$C$46,3,FALSE))</f>
        <v>2.7E-2</v>
      </c>
      <c r="M50" s="305">
        <f t="shared" si="7"/>
        <v>294300</v>
      </c>
      <c r="N50" s="271" t="s">
        <v>47</v>
      </c>
      <c r="O50" s="272"/>
      <c r="P50" s="272"/>
      <c r="Q50" s="222"/>
      <c r="R50" s="222" t="s">
        <v>579</v>
      </c>
      <c r="S50" s="225"/>
      <c r="T50" s="61"/>
      <c r="U50" s="1199" t="str">
        <f t="shared" si="2"/>
        <v/>
      </c>
      <c r="V50" s="1199"/>
      <c r="W50" s="1199"/>
      <c r="X50" s="1199"/>
      <c r="Y50" s="1199"/>
      <c r="Z50" s="1199"/>
      <c r="AA50" s="1199"/>
      <c r="AB50" s="1199"/>
      <c r="AC50" s="1199"/>
      <c r="AD50" s="1199"/>
      <c r="AE50" s="119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IF(基本情報入力シート!B81="","",基本情報入力シート!B81)</f>
        <v>1111111147</v>
      </c>
      <c r="C51" s="304" t="str">
        <f>IF(基本情報入力シート!L81="","",基本情報入力シート!L81)</f>
        <v>東京都</v>
      </c>
      <c r="D51" s="304" t="str">
        <f>IF(基本情報入力シート!Q81="","",基本情報入力シート!Q81)</f>
        <v>東京都</v>
      </c>
      <c r="E51" s="304" t="str">
        <f>IF(基本情報入力シート!V81="","",基本情報入力シート!V81)</f>
        <v>千代田区</v>
      </c>
      <c r="F51" s="304" t="str">
        <f>IF(基本情報入力シート!W81="","",基本情報入力シート!W81)</f>
        <v>○○施設</v>
      </c>
      <c r="G51" s="304" t="str">
        <f>IF(基本情報入力シート!X81="","",基本情報入力シート!X81)</f>
        <v>介護予防短期入所療養介護（介護医療院）</v>
      </c>
      <c r="H51" s="297" t="str">
        <f>IF(基本情報入力シート!Z81="","",基本情報入力シート!Z81)</f>
        <v>2B</v>
      </c>
      <c r="I51" s="298" t="str">
        <f>IF(基本情報入力シート!AE81&lt;&gt;"", 基本情報入力シート!AE81, "")</f>
        <v>○</v>
      </c>
      <c r="J51" s="56">
        <f>IF(基本情報入力シート!AA81="","",基本情報入力シート!AA81)</f>
        <v>1000000</v>
      </c>
      <c r="K51" s="59">
        <f>IF(基本情報入力シート!AD81="","",基本情報入力シート!AD81)</f>
        <v>10.9</v>
      </c>
      <c r="L51" s="58">
        <f>IF(G51="","",VLOOKUP(G51,【参考】数式用!$A$3:$C$46,3,FALSE))</f>
        <v>2.7E-2</v>
      </c>
      <c r="M51" s="305">
        <f t="shared" si="7"/>
        <v>294300</v>
      </c>
      <c r="N51" s="271" t="s">
        <v>47</v>
      </c>
      <c r="O51" s="272"/>
      <c r="P51" s="272"/>
      <c r="Q51" s="222"/>
      <c r="R51" s="222" t="s">
        <v>579</v>
      </c>
      <c r="S51" s="225"/>
      <c r="T51" s="61"/>
      <c r="U51" s="1199" t="str">
        <f t="shared" si="2"/>
        <v/>
      </c>
      <c r="V51" s="1199"/>
      <c r="W51" s="1199"/>
      <c r="X51" s="1199"/>
      <c r="Y51" s="1199"/>
      <c r="Z51" s="1199"/>
      <c r="AA51" s="1199"/>
      <c r="AB51" s="1199"/>
      <c r="AC51" s="1199"/>
      <c r="AD51" s="1199"/>
      <c r="AE51" s="119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IF(基本情報入力シート!B82="","",基本情報入力シート!B82)</f>
        <v>1111111148</v>
      </c>
      <c r="C52" s="304" t="str">
        <f>IF(基本情報入力シート!L82="","",基本情報入力シート!L82)</f>
        <v>千代田区</v>
      </c>
      <c r="D52" s="304" t="str">
        <f>IF(基本情報入力シート!Q82="","",基本情報入力シート!Q82)</f>
        <v>東京都</v>
      </c>
      <c r="E52" s="304" t="str">
        <f>IF(基本情報入力シート!V82="","",基本情報入力シート!V82)</f>
        <v>千代田区</v>
      </c>
      <c r="F52" s="304" t="str">
        <f>IF(基本情報入力シート!W82="","",基本情報入力シート!W82)</f>
        <v>○○ホームヘルプ</v>
      </c>
      <c r="G52" s="304" t="str">
        <f>IF(基本情報入力シート!X82="","",基本情報入力シート!X82)</f>
        <v>訪問型サービス（独自）</v>
      </c>
      <c r="H52" s="297" t="str">
        <f>IF(基本情報入力シート!Z82="","",基本情報入力シート!Z82)</f>
        <v>A2</v>
      </c>
      <c r="I52" s="298" t="str">
        <f>IF(基本情報入力シート!AE82&lt;&gt;"", 基本情報入力シート!AE82, "")</f>
        <v>○</v>
      </c>
      <c r="J52" s="56">
        <f>IF(基本情報入力シート!AA82="","",基本情報入力シート!AA82)</f>
        <v>1000000</v>
      </c>
      <c r="K52" s="59" t="str">
        <f>IF(基本情報入力シート!AD82="","",基本情報入力シート!AD82)</f>
        <v>数式を削除して手入力</v>
      </c>
      <c r="L52" s="58">
        <f>IF(G52="","",VLOOKUP(G52,【参考】数式用!$A$3:$C$46,3,FALSE))</f>
        <v>0.105</v>
      </c>
      <c r="M52" s="305" t="str">
        <f t="shared" si="7"/>
        <v>単価未入力</v>
      </c>
      <c r="N52" s="271" t="s">
        <v>47</v>
      </c>
      <c r="O52" s="272"/>
      <c r="P52" s="272"/>
      <c r="Q52" s="222"/>
      <c r="R52" s="222" t="s">
        <v>579</v>
      </c>
      <c r="S52" s="225"/>
      <c r="T52" s="61"/>
      <c r="U52" s="1199" t="str">
        <f t="shared" si="2"/>
        <v/>
      </c>
      <c r="V52" s="1199"/>
      <c r="W52" s="1199"/>
      <c r="X52" s="1199"/>
      <c r="Y52" s="1199"/>
      <c r="Z52" s="1199"/>
      <c r="AA52" s="1199"/>
      <c r="AB52" s="1199"/>
      <c r="AC52" s="1199"/>
      <c r="AD52" s="1199"/>
      <c r="AE52" s="119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IF(基本情報入力シート!B83="","",基本情報入力シート!B83)</f>
        <v>1111111149</v>
      </c>
      <c r="C53" s="304" t="str">
        <f>IF(基本情報入力シート!L83="","",基本情報入力シート!L83)</f>
        <v>千代田区</v>
      </c>
      <c r="D53" s="304" t="str">
        <f>IF(基本情報入力シート!Q83="","",基本情報入力シート!Q83)</f>
        <v>東京都</v>
      </c>
      <c r="E53" s="304" t="str">
        <f>IF(基本情報入力シート!V83="","",基本情報入力シート!V83)</f>
        <v>千代田区</v>
      </c>
      <c r="F53" s="304" t="str">
        <f>IF(基本情報入力シート!W83="","",基本情報入力シート!W83)</f>
        <v>○○ホームヘルプ</v>
      </c>
      <c r="G53" s="304" t="str">
        <f>IF(基本情報入力シート!X83="","",基本情報入力シート!X83)</f>
        <v>訪問型サービス（独自／定率）</v>
      </c>
      <c r="H53" s="297" t="str">
        <f>IF(基本情報入力シート!Z83="","",基本情報入力シート!Z83)</f>
        <v>A3</v>
      </c>
      <c r="I53" s="298" t="str">
        <f>IF(基本情報入力シート!AE83&lt;&gt;"", 基本情報入力シート!AE83, "")</f>
        <v>○</v>
      </c>
      <c r="J53" s="56">
        <f>IF(基本情報入力シート!AA83="","",基本情報入力シート!AA83)</f>
        <v>1000000</v>
      </c>
      <c r="K53" s="59" t="str">
        <f>IF(基本情報入力シート!AD83="","",基本情報入力シート!AD83)</f>
        <v>数式を削除して手入力</v>
      </c>
      <c r="L53" s="58">
        <f>IF(G53="","",VLOOKUP(G53,【参考】数式用!$A$3:$C$46,3,FALSE))</f>
        <v>0.105</v>
      </c>
      <c r="M53" s="305" t="str">
        <f t="shared" si="7"/>
        <v>単価未入力</v>
      </c>
      <c r="N53" s="271" t="s">
        <v>47</v>
      </c>
      <c r="O53" s="272"/>
      <c r="P53" s="272"/>
      <c r="Q53" s="222"/>
      <c r="R53" s="222" t="s">
        <v>579</v>
      </c>
      <c r="S53" s="225"/>
      <c r="T53" s="61"/>
      <c r="U53" s="1199" t="str">
        <f t="shared" si="2"/>
        <v/>
      </c>
      <c r="V53" s="1199"/>
      <c r="W53" s="1199"/>
      <c r="X53" s="1199"/>
      <c r="Y53" s="1199"/>
      <c r="Z53" s="1199"/>
      <c r="AA53" s="1199"/>
      <c r="AB53" s="1199"/>
      <c r="AC53" s="1199"/>
      <c r="AD53" s="1199"/>
      <c r="AE53" s="119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IF(基本情報入力シート!B84="","",基本情報入力シート!B84)</f>
        <v>1111111150</v>
      </c>
      <c r="C54" s="304" t="str">
        <f>IF(基本情報入力シート!L84="","",基本情報入力シート!L84)</f>
        <v>千代田区</v>
      </c>
      <c r="D54" s="304" t="str">
        <f>IF(基本情報入力シート!Q84="","",基本情報入力シート!Q84)</f>
        <v>東京都</v>
      </c>
      <c r="E54" s="304" t="str">
        <f>IF(基本情報入力シート!V84="","",基本情報入力シート!V84)</f>
        <v>千代田区</v>
      </c>
      <c r="F54" s="304" t="str">
        <f>IF(基本情報入力シート!W84="","",基本情報入力シート!W84)</f>
        <v>○○ホームヘルプ</v>
      </c>
      <c r="G54" s="304" t="str">
        <f>IF(基本情報入力シート!X84="","",基本情報入力シート!X84)</f>
        <v>訪問型サービス（独自／定額）</v>
      </c>
      <c r="H54" s="297" t="str">
        <f>IF(基本情報入力シート!Z84="","",基本情報入力シート!Z84)</f>
        <v>A4</v>
      </c>
      <c r="I54" s="298" t="str">
        <f>IF(基本情報入力シート!AE84&lt;&gt;"", 基本情報入力シート!AE84, "")</f>
        <v>○</v>
      </c>
      <c r="J54" s="56">
        <f>IF(基本情報入力シート!AA84="","",基本情報入力シート!AA84)</f>
        <v>1000000</v>
      </c>
      <c r="K54" s="59" t="str">
        <f>IF(基本情報入力シート!AD84="","",基本情報入力シート!AD84)</f>
        <v>数式を削除して手入力</v>
      </c>
      <c r="L54" s="58">
        <f>IF(G54="","",VLOOKUP(G54,【参考】数式用!$A$3:$C$46,3,FALSE))</f>
        <v>0.105</v>
      </c>
      <c r="M54" s="305" t="str">
        <f t="shared" si="7"/>
        <v>単価未入力</v>
      </c>
      <c r="N54" s="271" t="s">
        <v>47</v>
      </c>
      <c r="O54" s="272"/>
      <c r="P54" s="272"/>
      <c r="Q54" s="222"/>
      <c r="R54" s="222" t="s">
        <v>579</v>
      </c>
      <c r="S54" s="225"/>
      <c r="T54" s="61"/>
      <c r="U54" s="1199" t="str">
        <f t="shared" si="2"/>
        <v/>
      </c>
      <c r="V54" s="1199"/>
      <c r="W54" s="1199"/>
      <c r="X54" s="1199"/>
      <c r="Y54" s="1199"/>
      <c r="Z54" s="1199"/>
      <c r="AA54" s="1199"/>
      <c r="AB54" s="1199"/>
      <c r="AC54" s="1199"/>
      <c r="AD54" s="1199"/>
      <c r="AE54" s="119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IF(基本情報入力シート!B85="","",基本情報入力シート!B85)</f>
        <v>1111111151</v>
      </c>
      <c r="C55" s="304" t="str">
        <f>IF(基本情報入力シート!L85="","",基本情報入力シート!L85)</f>
        <v>千代田区</v>
      </c>
      <c r="D55" s="304" t="str">
        <f>IF(基本情報入力シート!Q85="","",基本情報入力シート!Q85)</f>
        <v>東京都</v>
      </c>
      <c r="E55" s="304" t="str">
        <f>IF(基本情報入力シート!V85="","",基本情報入力シート!V85)</f>
        <v>千代田区</v>
      </c>
      <c r="F55" s="304" t="str">
        <f>IF(基本情報入力シート!W85="","",基本情報入力シート!W85)</f>
        <v>○○デイケア</v>
      </c>
      <c r="G55" s="304" t="str">
        <f>IF(基本情報入力シート!X85="","",基本情報入力シート!X85)</f>
        <v>通所型サービス（独自）</v>
      </c>
      <c r="H55" s="297" t="str">
        <f>IF(基本情報入力シート!Z85="","",基本情報入力シート!Z85)</f>
        <v>A6</v>
      </c>
      <c r="I55" s="298" t="str">
        <f>IF(基本情報入力シート!AE85&lt;&gt;"", 基本情報入力シート!AE85, "")</f>
        <v>○</v>
      </c>
      <c r="J55" s="56">
        <f>IF(基本情報入力シート!AA85="","",基本情報入力シート!AA85)</f>
        <v>1000000</v>
      </c>
      <c r="K55" s="59" t="str">
        <f>IF(基本情報入力シート!AD85="","",基本情報入力シート!AD85)</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99" t="str">
        <f t="shared" si="2"/>
        <v/>
      </c>
      <c r="V55" s="1199"/>
      <c r="W55" s="1199"/>
      <c r="X55" s="1199"/>
      <c r="Y55" s="1199"/>
      <c r="Z55" s="1199"/>
      <c r="AA55" s="1199"/>
      <c r="AB55" s="1199"/>
      <c r="AC55" s="1199"/>
      <c r="AD55" s="1199"/>
      <c r="AE55" s="119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IF(基本情報入力シート!B86="","",基本情報入力シート!B86)</f>
        <v>1111111152</v>
      </c>
      <c r="C56" s="304" t="str">
        <f>IF(基本情報入力シート!L86="","",基本情報入力シート!L86)</f>
        <v>千代田区</v>
      </c>
      <c r="D56" s="304" t="str">
        <f>IF(基本情報入力シート!Q86="","",基本情報入力シート!Q86)</f>
        <v>東京都</v>
      </c>
      <c r="E56" s="304" t="str">
        <f>IF(基本情報入力シート!V86="","",基本情報入力シート!V86)</f>
        <v>千代田区</v>
      </c>
      <c r="F56" s="304" t="str">
        <f>IF(基本情報入力シート!W86="","",基本情報入力シート!W86)</f>
        <v>○○デイケア</v>
      </c>
      <c r="G56" s="304" t="str">
        <f>IF(基本情報入力シート!X86="","",基本情報入力シート!X86)</f>
        <v>通所型サービス（独自／定率）</v>
      </c>
      <c r="H56" s="297" t="str">
        <f>IF(基本情報入力シート!Z86="","",基本情報入力シート!Z86)</f>
        <v>A7</v>
      </c>
      <c r="I56" s="298" t="str">
        <f>IF(基本情報入力シート!AE86&lt;&gt;"", 基本情報入力シート!AE86, "")</f>
        <v>○</v>
      </c>
      <c r="J56" s="56">
        <f>IF(基本情報入力シート!AA86="","",基本情報入力シート!AA86)</f>
        <v>1000000</v>
      </c>
      <c r="K56" s="59" t="str">
        <f>IF(基本情報入力シート!AD86="","",基本情報入力シート!AD86)</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99" t="str">
        <f t="shared" si="2"/>
        <v/>
      </c>
      <c r="V56" s="1199"/>
      <c r="W56" s="1199"/>
      <c r="X56" s="1199"/>
      <c r="Y56" s="1199"/>
      <c r="Z56" s="1199"/>
      <c r="AA56" s="1199"/>
      <c r="AB56" s="1199"/>
      <c r="AC56" s="1199"/>
      <c r="AD56" s="1199"/>
      <c r="AE56" s="119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IF(基本情報入力シート!B87="","",基本情報入力シート!B87)</f>
        <v>1111111153</v>
      </c>
      <c r="C57" s="304" t="str">
        <f>IF(基本情報入力シート!L87="","",基本情報入力シート!L87)</f>
        <v>千代田区</v>
      </c>
      <c r="D57" s="304" t="str">
        <f>IF(基本情報入力シート!Q87="","",基本情報入力シート!Q87)</f>
        <v>東京都</v>
      </c>
      <c r="E57" s="304" t="str">
        <f>IF(基本情報入力シート!V87="","",基本情報入力シート!V87)</f>
        <v>千代田区</v>
      </c>
      <c r="F57" s="304" t="str">
        <f>IF(基本情報入力シート!W87="","",基本情報入力シート!W87)</f>
        <v>○○デイケア</v>
      </c>
      <c r="G57" s="304" t="str">
        <f>IF(基本情報入力シート!X87="","",基本情報入力シート!X87)</f>
        <v>通所型サービス（独自／定額）</v>
      </c>
      <c r="H57" s="297" t="str">
        <f>IF(基本情報入力シート!Z87="","",基本情報入力シート!Z87)</f>
        <v>A8</v>
      </c>
      <c r="I57" s="298" t="str">
        <f>IF(基本情報入力シート!AE87&lt;&gt;"", 基本情報入力シート!AE87, "")</f>
        <v>○</v>
      </c>
      <c r="J57" s="56">
        <f>IF(基本情報入力シート!AA87="","",基本情報入力シート!AA87)</f>
        <v>1000000</v>
      </c>
      <c r="K57" s="59" t="str">
        <f>IF(基本情報入力シート!AD87="","",基本情報入力シート!AD87)</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99" t="str">
        <f t="shared" si="2"/>
        <v/>
      </c>
      <c r="V57" s="1199"/>
      <c r="W57" s="1199"/>
      <c r="X57" s="1199"/>
      <c r="Y57" s="1199"/>
      <c r="Z57" s="1199"/>
      <c r="AA57" s="1199"/>
      <c r="AB57" s="1199"/>
      <c r="AC57" s="1199"/>
      <c r="AD57" s="1199"/>
      <c r="AE57" s="119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IF(基本情報入力シート!B88="","",基本情報入力シート!B88)</f>
        <v/>
      </c>
      <c r="C58" s="304" t="str">
        <f>IF(基本情報入力シート!L88="","",基本情報入力シート!L88)</f>
        <v/>
      </c>
      <c r="D58" s="304" t="str">
        <f>IF(基本情報入力シート!Q88="","",基本情報入力シート!Q88)</f>
        <v/>
      </c>
      <c r="E58" s="304" t="str">
        <f>IF(基本情報入力シート!V88="","",基本情報入力シート!V88)</f>
        <v/>
      </c>
      <c r="F58" s="304" t="str">
        <f>IF(基本情報入力シート!W88="","",基本情報入力シート!W88)</f>
        <v/>
      </c>
      <c r="G58" s="304" t="str">
        <f>IF(基本情報入力シート!X88="","",基本情報入力シート!X88)</f>
        <v/>
      </c>
      <c r="H58" s="297" t="str">
        <f>IF(基本情報入力シート!Z88="","",基本情報入力シート!Z88)</f>
        <v/>
      </c>
      <c r="I58" s="298" t="str">
        <f>IF(基本情報入力シート!AE88&lt;&gt;"", 基本情報入力シート!AE88, "")</f>
        <v/>
      </c>
      <c r="J58" s="56" t="str">
        <f>IF(基本情報入力シート!AA88="","",基本情報入力シート!AA88)</f>
        <v/>
      </c>
      <c r="K58" s="59" t="str">
        <f>IF(基本情報入力シート!AD88="","",基本情報入力シート!AD88)</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IF(基本情報入力シート!B89="","",基本情報入力シート!B89)</f>
        <v/>
      </c>
      <c r="C59" s="304" t="str">
        <f>IF(基本情報入力シート!L89="","",基本情報入力シート!L89)</f>
        <v/>
      </c>
      <c r="D59" s="304" t="str">
        <f>IF(基本情報入力シート!Q89="","",基本情報入力シート!Q89)</f>
        <v/>
      </c>
      <c r="E59" s="304" t="str">
        <f>IF(基本情報入力シート!V89="","",基本情報入力シート!V89)</f>
        <v/>
      </c>
      <c r="F59" s="304" t="str">
        <f>IF(基本情報入力シート!W89="","",基本情報入力シート!W89)</f>
        <v/>
      </c>
      <c r="G59" s="304" t="str">
        <f>IF(基本情報入力シート!X89="","",基本情報入力シート!X89)</f>
        <v/>
      </c>
      <c r="H59" s="297" t="str">
        <f>IF(基本情報入力シート!Z89="","",基本情報入力シート!Z89)</f>
        <v/>
      </c>
      <c r="I59" s="298" t="str">
        <f>IF(基本情報入力シート!AE89&lt;&gt;"", 基本情報入力シート!AE89, "")</f>
        <v/>
      </c>
      <c r="J59" s="56" t="str">
        <f>IF(基本情報入力シート!AA89="","",基本情報入力シート!AA89)</f>
        <v/>
      </c>
      <c r="K59" s="59" t="str">
        <f>IF(基本情報入力シート!AD89="","",基本情報入力シート!AD89)</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IF(基本情報入力シート!B90="","",基本情報入力シート!B90)</f>
        <v/>
      </c>
      <c r="C60" s="304" t="str">
        <f>IF(基本情報入力シート!L90="","",基本情報入力シート!L90)</f>
        <v/>
      </c>
      <c r="D60" s="304" t="str">
        <f>IF(基本情報入力シート!Q90="","",基本情報入力シート!Q90)</f>
        <v/>
      </c>
      <c r="E60" s="304" t="str">
        <f>IF(基本情報入力シート!V90="","",基本情報入力シート!V90)</f>
        <v/>
      </c>
      <c r="F60" s="304" t="str">
        <f>IF(基本情報入力シート!W90="","",基本情報入力シート!W90)</f>
        <v/>
      </c>
      <c r="G60" s="304" t="str">
        <f>IF(基本情報入力シート!X90="","",基本情報入力シート!X90)</f>
        <v/>
      </c>
      <c r="H60" s="297" t="str">
        <f>IF(基本情報入力シート!Z90="","",基本情報入力シート!Z90)</f>
        <v/>
      </c>
      <c r="I60" s="298" t="str">
        <f>IF(基本情報入力シート!AE90&lt;&gt;"", 基本情報入力シート!AE90, "")</f>
        <v/>
      </c>
      <c r="J60" s="56" t="str">
        <f>IF(基本情報入力シート!AA90="","",基本情報入力シート!AA90)</f>
        <v/>
      </c>
      <c r="K60" s="59" t="str">
        <f>IF(基本情報入力シート!AD90="","",基本情報入力シート!AD90)</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IF(基本情報入力シート!B91="","",基本情報入力シート!B91)</f>
        <v/>
      </c>
      <c r="C61" s="304" t="str">
        <f>IF(基本情報入力シート!L91="","",基本情報入力シート!L91)</f>
        <v/>
      </c>
      <c r="D61" s="304" t="str">
        <f>IF(基本情報入力シート!Q91="","",基本情報入力シート!Q91)</f>
        <v/>
      </c>
      <c r="E61" s="304" t="str">
        <f>IF(基本情報入力シート!V91="","",基本情報入力シート!V91)</f>
        <v/>
      </c>
      <c r="F61" s="304" t="str">
        <f>IF(基本情報入力シート!W91="","",基本情報入力シート!W91)</f>
        <v/>
      </c>
      <c r="G61" s="304" t="str">
        <f>IF(基本情報入力シート!X91="","",基本情報入力シート!X91)</f>
        <v/>
      </c>
      <c r="H61" s="297" t="str">
        <f>IF(基本情報入力シート!Z91="","",基本情報入力シート!Z91)</f>
        <v/>
      </c>
      <c r="I61" s="298" t="str">
        <f>IF(基本情報入力シート!AE91&lt;&gt;"", 基本情報入力シート!AE91, "")</f>
        <v/>
      </c>
      <c r="J61" s="56" t="str">
        <f>IF(基本情報入力シート!AA91="","",基本情報入力シート!AA91)</f>
        <v/>
      </c>
      <c r="K61" s="59" t="str">
        <f>IF(基本情報入力シート!AD91="","",基本情報入力シート!AD91)</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IF(基本情報入力シート!B92="","",基本情報入力シート!B92)</f>
        <v/>
      </c>
      <c r="C62" s="304" t="str">
        <f>IF(基本情報入力シート!L92="","",基本情報入力シート!L92)</f>
        <v/>
      </c>
      <c r="D62" s="304" t="str">
        <f>IF(基本情報入力シート!Q92="","",基本情報入力シート!Q92)</f>
        <v/>
      </c>
      <c r="E62" s="304" t="str">
        <f>IF(基本情報入力シート!V92="","",基本情報入力シート!V92)</f>
        <v/>
      </c>
      <c r="F62" s="304" t="str">
        <f>IF(基本情報入力シート!W92="","",基本情報入力シート!W92)</f>
        <v/>
      </c>
      <c r="G62" s="304" t="str">
        <f>IF(基本情報入力シート!X92="","",基本情報入力シート!X92)</f>
        <v/>
      </c>
      <c r="H62" s="297" t="str">
        <f>IF(基本情報入力シート!Z92="","",基本情報入力シート!Z92)</f>
        <v/>
      </c>
      <c r="I62" s="298" t="str">
        <f>IF(基本情報入力シート!AE92&lt;&gt;"", 基本情報入力シート!AE92, "")</f>
        <v/>
      </c>
      <c r="J62" s="56" t="str">
        <f>IF(基本情報入力シート!AA92="","",基本情報入力シート!AA92)</f>
        <v/>
      </c>
      <c r="K62" s="59" t="str">
        <f>IF(基本情報入力シート!AD92="","",基本情報入力シート!AD92)</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IF(基本情報入力シート!B93="","",基本情報入力シート!B93)</f>
        <v/>
      </c>
      <c r="C63" s="304" t="str">
        <f>IF(基本情報入力シート!L93="","",基本情報入力シート!L93)</f>
        <v/>
      </c>
      <c r="D63" s="304" t="str">
        <f>IF(基本情報入力シート!Q93="","",基本情報入力シート!Q93)</f>
        <v/>
      </c>
      <c r="E63" s="304" t="str">
        <f>IF(基本情報入力シート!V93="","",基本情報入力シート!V93)</f>
        <v/>
      </c>
      <c r="F63" s="304" t="str">
        <f>IF(基本情報入力シート!W93="","",基本情報入力シート!W93)</f>
        <v/>
      </c>
      <c r="G63" s="304" t="str">
        <f>IF(基本情報入力シート!X93="","",基本情報入力シート!X93)</f>
        <v/>
      </c>
      <c r="H63" s="297" t="str">
        <f>IF(基本情報入力シート!Z93="","",基本情報入力シート!Z93)</f>
        <v/>
      </c>
      <c r="I63" s="298" t="str">
        <f>IF(基本情報入力シート!AE93&lt;&gt;"", 基本情報入力シート!AE93, "")</f>
        <v/>
      </c>
      <c r="J63" s="56" t="str">
        <f>IF(基本情報入力シート!AA93="","",基本情報入力シート!AA93)</f>
        <v/>
      </c>
      <c r="K63" s="59" t="str">
        <f>IF(基本情報入力シート!AD93="","",基本情報入力シート!AD93)</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IF(基本情報入力シート!B94="","",基本情報入力シート!B94)</f>
        <v/>
      </c>
      <c r="C64" s="304" t="str">
        <f>IF(基本情報入力シート!L94="","",基本情報入力シート!L94)</f>
        <v/>
      </c>
      <c r="D64" s="304" t="str">
        <f>IF(基本情報入力シート!Q94="","",基本情報入力シート!Q94)</f>
        <v/>
      </c>
      <c r="E64" s="304" t="str">
        <f>IF(基本情報入力シート!V94="","",基本情報入力シート!V94)</f>
        <v/>
      </c>
      <c r="F64" s="304" t="str">
        <f>IF(基本情報入力シート!W94="","",基本情報入力シート!W94)</f>
        <v/>
      </c>
      <c r="G64" s="304" t="str">
        <f>IF(基本情報入力シート!X94="","",基本情報入力シート!X94)</f>
        <v/>
      </c>
      <c r="H64" s="297" t="str">
        <f>IF(基本情報入力シート!Z94="","",基本情報入力シート!Z94)</f>
        <v/>
      </c>
      <c r="I64" s="298" t="str">
        <f>IF(基本情報入力シート!AE94&lt;&gt;"", 基本情報入力シート!AE94, "")</f>
        <v/>
      </c>
      <c r="J64" s="56" t="str">
        <f>IF(基本情報入力シート!AA94="","",基本情報入力シート!AA94)</f>
        <v/>
      </c>
      <c r="K64" s="59" t="str">
        <f>IF(基本情報入力シート!AD94="","",基本情報入力シート!AD94)</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IF(基本情報入力シート!B95="","",基本情報入力シート!B95)</f>
        <v/>
      </c>
      <c r="C65" s="304" t="str">
        <f>IF(基本情報入力シート!L95="","",基本情報入力シート!L95)</f>
        <v/>
      </c>
      <c r="D65" s="304" t="str">
        <f>IF(基本情報入力シート!Q95="","",基本情報入力シート!Q95)</f>
        <v/>
      </c>
      <c r="E65" s="304" t="str">
        <f>IF(基本情報入力シート!V95="","",基本情報入力シート!V95)</f>
        <v/>
      </c>
      <c r="F65" s="304" t="str">
        <f>IF(基本情報入力シート!W95="","",基本情報入力シート!W95)</f>
        <v/>
      </c>
      <c r="G65" s="304" t="str">
        <f>IF(基本情報入力シート!X95="","",基本情報入力シート!X95)</f>
        <v/>
      </c>
      <c r="H65" s="297" t="str">
        <f>IF(基本情報入力シート!Z95="","",基本情報入力シート!Z95)</f>
        <v/>
      </c>
      <c r="I65" s="298" t="str">
        <f>IF(基本情報入力シート!AE95&lt;&gt;"", 基本情報入力シート!AE95, "")</f>
        <v/>
      </c>
      <c r="J65" s="56" t="str">
        <f>IF(基本情報入力シート!AA95="","",基本情報入力シート!AA95)</f>
        <v/>
      </c>
      <c r="K65" s="59" t="str">
        <f>IF(基本情報入力シート!AD95="","",基本情報入力シート!AD95)</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IF(基本情報入力シート!B96="","",基本情報入力シート!B96)</f>
        <v/>
      </c>
      <c r="C66" s="304" t="str">
        <f>IF(基本情報入力シート!L96="","",基本情報入力シート!L96)</f>
        <v/>
      </c>
      <c r="D66" s="304" t="str">
        <f>IF(基本情報入力シート!Q96="","",基本情報入力シート!Q96)</f>
        <v/>
      </c>
      <c r="E66" s="304" t="str">
        <f>IF(基本情報入力シート!V96="","",基本情報入力シート!V96)</f>
        <v/>
      </c>
      <c r="F66" s="304" t="str">
        <f>IF(基本情報入力シート!W96="","",基本情報入力シート!W96)</f>
        <v/>
      </c>
      <c r="G66" s="304" t="str">
        <f>IF(基本情報入力シート!X96="","",基本情報入力シート!X96)</f>
        <v/>
      </c>
      <c r="H66" s="297" t="str">
        <f>IF(基本情報入力シート!Z96="","",基本情報入力シート!Z96)</f>
        <v/>
      </c>
      <c r="I66" s="298" t="str">
        <f>IF(基本情報入力シート!AE96&lt;&gt;"", 基本情報入力シート!AE96, "")</f>
        <v/>
      </c>
      <c r="J66" s="56" t="str">
        <f>IF(基本情報入力シート!AA96="","",基本情報入力シート!AA96)</f>
        <v/>
      </c>
      <c r="K66" s="59" t="str">
        <f>IF(基本情報入力シート!AD96="","",基本情報入力シート!AD96)</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IF(基本情報入力シート!B97="","",基本情報入力シート!B97)</f>
        <v/>
      </c>
      <c r="C67" s="304" t="str">
        <f>IF(基本情報入力シート!L97="","",基本情報入力シート!L97)</f>
        <v/>
      </c>
      <c r="D67" s="304" t="str">
        <f>IF(基本情報入力シート!Q97="","",基本情報入力シート!Q97)</f>
        <v/>
      </c>
      <c r="E67" s="304" t="str">
        <f>IF(基本情報入力シート!V97="","",基本情報入力シート!V97)</f>
        <v/>
      </c>
      <c r="F67" s="304" t="str">
        <f>IF(基本情報入力シート!W97="","",基本情報入力シート!W97)</f>
        <v/>
      </c>
      <c r="G67" s="304" t="str">
        <f>IF(基本情報入力シート!X97="","",基本情報入力シート!X97)</f>
        <v/>
      </c>
      <c r="H67" s="297" t="str">
        <f>IF(基本情報入力シート!Z97="","",基本情報入力シート!Z97)</f>
        <v/>
      </c>
      <c r="I67" s="298" t="str">
        <f>IF(基本情報入力シート!AE97&lt;&gt;"", 基本情報入力シート!AE97, "")</f>
        <v/>
      </c>
      <c r="J67" s="56" t="str">
        <f>IF(基本情報入力シート!AA97="","",基本情報入力シート!AA97)</f>
        <v/>
      </c>
      <c r="K67" s="59" t="str">
        <f>IF(基本情報入力シート!AD97="","",基本情報入力シート!AD97)</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IF(基本情報入力シート!B98="","",基本情報入力シート!B98)</f>
        <v/>
      </c>
      <c r="C68" s="304" t="str">
        <f>IF(基本情報入力シート!L98="","",基本情報入力シート!L98)</f>
        <v/>
      </c>
      <c r="D68" s="304" t="str">
        <f>IF(基本情報入力シート!Q98="","",基本情報入力シート!Q98)</f>
        <v/>
      </c>
      <c r="E68" s="304" t="str">
        <f>IF(基本情報入力シート!V98="","",基本情報入力シート!V98)</f>
        <v/>
      </c>
      <c r="F68" s="304" t="str">
        <f>IF(基本情報入力シート!W98="","",基本情報入力シート!W98)</f>
        <v/>
      </c>
      <c r="G68" s="304" t="str">
        <f>IF(基本情報入力シート!X98="","",基本情報入力シート!X98)</f>
        <v/>
      </c>
      <c r="H68" s="297" t="str">
        <f>IF(基本情報入力シート!Z98="","",基本情報入力シート!Z98)</f>
        <v/>
      </c>
      <c r="I68" s="298" t="str">
        <f>IF(基本情報入力シート!AE98&lt;&gt;"", 基本情報入力シート!AE98, "")</f>
        <v/>
      </c>
      <c r="J68" s="56" t="str">
        <f>IF(基本情報入力シート!AA98="","",基本情報入力シート!AA98)</f>
        <v/>
      </c>
      <c r="K68" s="59" t="str">
        <f>IF(基本情報入力シート!AD98="","",基本情報入力シート!AD98)</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IF(基本情報入力シート!B99="","",基本情報入力シート!B99)</f>
        <v/>
      </c>
      <c r="C69" s="304" t="str">
        <f>IF(基本情報入力シート!L99="","",基本情報入力シート!L99)</f>
        <v/>
      </c>
      <c r="D69" s="304" t="str">
        <f>IF(基本情報入力シート!Q99="","",基本情報入力シート!Q99)</f>
        <v/>
      </c>
      <c r="E69" s="304" t="str">
        <f>IF(基本情報入力シート!V99="","",基本情報入力シート!V99)</f>
        <v/>
      </c>
      <c r="F69" s="304" t="str">
        <f>IF(基本情報入力シート!W99="","",基本情報入力シート!W99)</f>
        <v/>
      </c>
      <c r="G69" s="304" t="str">
        <f>IF(基本情報入力シート!X99="","",基本情報入力シート!X99)</f>
        <v/>
      </c>
      <c r="H69" s="297" t="str">
        <f>IF(基本情報入力シート!Z99="","",基本情報入力シート!Z99)</f>
        <v/>
      </c>
      <c r="I69" s="298" t="str">
        <f>IF(基本情報入力シート!AE99&lt;&gt;"", 基本情報入力シート!AE99, "")</f>
        <v/>
      </c>
      <c r="J69" s="56" t="str">
        <f>IF(基本情報入力シート!AA99="","",基本情報入力シート!AA99)</f>
        <v/>
      </c>
      <c r="K69" s="59" t="str">
        <f>IF(基本情報入力シート!AD99="","",基本情報入力シート!AD99)</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IF(基本情報入力シート!B100="","",基本情報入力シート!B100)</f>
        <v/>
      </c>
      <c r="C70" s="304" t="str">
        <f>IF(基本情報入力シート!L100="","",基本情報入力シート!L100)</f>
        <v/>
      </c>
      <c r="D70" s="304" t="str">
        <f>IF(基本情報入力シート!Q100="","",基本情報入力シート!Q100)</f>
        <v/>
      </c>
      <c r="E70" s="304" t="str">
        <f>IF(基本情報入力シート!V100="","",基本情報入力シート!V100)</f>
        <v/>
      </c>
      <c r="F70" s="304" t="str">
        <f>IF(基本情報入力シート!W100="","",基本情報入力シート!W100)</f>
        <v/>
      </c>
      <c r="G70" s="304" t="str">
        <f>IF(基本情報入力シート!X100="","",基本情報入力シート!X100)</f>
        <v/>
      </c>
      <c r="H70" s="297" t="str">
        <f>IF(基本情報入力シート!Z100="","",基本情報入力シート!Z100)</f>
        <v/>
      </c>
      <c r="I70" s="298" t="str">
        <f>IF(基本情報入力シート!AE100&lt;&gt;"", 基本情報入力シート!AE100, "")</f>
        <v/>
      </c>
      <c r="J70" s="56" t="str">
        <f>IF(基本情報入力シート!AA100="","",基本情報入力シート!AA100)</f>
        <v/>
      </c>
      <c r="K70" s="59" t="str">
        <f>IF(基本情報入力シート!AD100="","",基本情報入力シート!AD100)</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IF(基本情報入力シート!B101="","",基本情報入力シート!B101)</f>
        <v/>
      </c>
      <c r="C71" s="304" t="str">
        <f>IF(基本情報入力シート!L101="","",基本情報入力シート!L101)</f>
        <v/>
      </c>
      <c r="D71" s="304" t="str">
        <f>IF(基本情報入力シート!Q101="","",基本情報入力シート!Q101)</f>
        <v/>
      </c>
      <c r="E71" s="304" t="str">
        <f>IF(基本情報入力シート!V101="","",基本情報入力シート!V101)</f>
        <v/>
      </c>
      <c r="F71" s="304" t="str">
        <f>IF(基本情報入力シート!W101="","",基本情報入力シート!W101)</f>
        <v/>
      </c>
      <c r="G71" s="304" t="str">
        <f>IF(基本情報入力シート!X101="","",基本情報入力シート!X101)</f>
        <v/>
      </c>
      <c r="H71" s="297" t="str">
        <f>IF(基本情報入力シート!Z101="","",基本情報入力シート!Z101)</f>
        <v/>
      </c>
      <c r="I71" s="298" t="str">
        <f>IF(基本情報入力シート!AE101&lt;&gt;"", 基本情報入力シート!AE101, "")</f>
        <v/>
      </c>
      <c r="J71" s="56" t="str">
        <f>IF(基本情報入力シート!AA101="","",基本情報入力シート!AA101)</f>
        <v/>
      </c>
      <c r="K71" s="59" t="str">
        <f>IF(基本情報入力シート!AD101="","",基本情報入力シート!AD101)</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IF(基本情報入力シート!B102="","",基本情報入力シート!B102)</f>
        <v/>
      </c>
      <c r="C72" s="304" t="str">
        <f>IF(基本情報入力シート!L102="","",基本情報入力シート!L102)</f>
        <v/>
      </c>
      <c r="D72" s="304" t="str">
        <f>IF(基本情報入力シート!Q102="","",基本情報入力シート!Q102)</f>
        <v/>
      </c>
      <c r="E72" s="304" t="str">
        <f>IF(基本情報入力シート!V102="","",基本情報入力シート!V102)</f>
        <v/>
      </c>
      <c r="F72" s="304" t="str">
        <f>IF(基本情報入力シート!W102="","",基本情報入力シート!W102)</f>
        <v/>
      </c>
      <c r="G72" s="304" t="str">
        <f>IF(基本情報入力シート!X102="","",基本情報入力シート!X102)</f>
        <v/>
      </c>
      <c r="H72" s="297" t="str">
        <f>IF(基本情報入力シート!Z102="","",基本情報入力シート!Z102)</f>
        <v/>
      </c>
      <c r="I72" s="298" t="str">
        <f>IF(基本情報入力シート!AE102&lt;&gt;"", 基本情報入力シート!AE102, "")</f>
        <v/>
      </c>
      <c r="J72" s="56" t="str">
        <f>IF(基本情報入力シート!AA102="","",基本情報入力シート!AA102)</f>
        <v/>
      </c>
      <c r="K72" s="59" t="str">
        <f>IF(基本情報入力シート!AD102="","",基本情報入力シート!AD102)</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IF(基本情報入力シート!B103="","",基本情報入力シート!B103)</f>
        <v/>
      </c>
      <c r="C73" s="304" t="str">
        <f>IF(基本情報入力シート!L103="","",基本情報入力シート!L103)</f>
        <v/>
      </c>
      <c r="D73" s="304" t="str">
        <f>IF(基本情報入力シート!Q103="","",基本情報入力シート!Q103)</f>
        <v/>
      </c>
      <c r="E73" s="304" t="str">
        <f>IF(基本情報入力シート!V103="","",基本情報入力シート!V103)</f>
        <v/>
      </c>
      <c r="F73" s="304" t="str">
        <f>IF(基本情報入力シート!W103="","",基本情報入力シート!W103)</f>
        <v/>
      </c>
      <c r="G73" s="304" t="str">
        <f>IF(基本情報入力シート!X103="","",基本情報入力シート!X103)</f>
        <v/>
      </c>
      <c r="H73" s="297" t="str">
        <f>IF(基本情報入力シート!Z103="","",基本情報入力シート!Z103)</f>
        <v/>
      </c>
      <c r="I73" s="298" t="str">
        <f>IF(基本情報入力シート!AE103&lt;&gt;"", 基本情報入力シート!AE103, "")</f>
        <v/>
      </c>
      <c r="J73" s="56" t="str">
        <f>IF(基本情報入力シート!AA103="","",基本情報入力シート!AA103)</f>
        <v/>
      </c>
      <c r="K73" s="59" t="str">
        <f>IF(基本情報入力シート!AD103="","",基本情報入力シート!AD103)</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IF(基本情報入力シート!B104="","",基本情報入力シート!B104)</f>
        <v/>
      </c>
      <c r="C74" s="304" t="str">
        <f>IF(基本情報入力シート!L104="","",基本情報入力シート!L104)</f>
        <v/>
      </c>
      <c r="D74" s="304" t="str">
        <f>IF(基本情報入力シート!Q104="","",基本情報入力シート!Q104)</f>
        <v/>
      </c>
      <c r="E74" s="304" t="str">
        <f>IF(基本情報入力シート!V104="","",基本情報入力シート!V104)</f>
        <v/>
      </c>
      <c r="F74" s="304" t="str">
        <f>IF(基本情報入力シート!W104="","",基本情報入力シート!W104)</f>
        <v/>
      </c>
      <c r="G74" s="304" t="str">
        <f>IF(基本情報入力シート!X104="","",基本情報入力シート!X104)</f>
        <v/>
      </c>
      <c r="H74" s="297" t="str">
        <f>IF(基本情報入力シート!Z104="","",基本情報入力シート!Z104)</f>
        <v/>
      </c>
      <c r="I74" s="298" t="str">
        <f>IF(基本情報入力シート!AE104&lt;&gt;"", 基本情報入力シート!AE104, "")</f>
        <v/>
      </c>
      <c r="J74" s="56" t="str">
        <f>IF(基本情報入力シート!AA104="","",基本情報入力シート!AA104)</f>
        <v/>
      </c>
      <c r="K74" s="59" t="str">
        <f>IF(基本情報入力シート!AD104="","",基本情報入力シート!AD104)</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IF(基本情報入力シート!B105="","",基本情報入力シート!B105)</f>
        <v/>
      </c>
      <c r="C75" s="304" t="str">
        <f>IF(基本情報入力シート!L105="","",基本情報入力シート!L105)</f>
        <v/>
      </c>
      <c r="D75" s="304" t="str">
        <f>IF(基本情報入力シート!Q105="","",基本情報入力シート!Q105)</f>
        <v/>
      </c>
      <c r="E75" s="304" t="str">
        <f>IF(基本情報入力シート!V105="","",基本情報入力シート!V105)</f>
        <v/>
      </c>
      <c r="F75" s="304" t="str">
        <f>IF(基本情報入力シート!W105="","",基本情報入力シート!W105)</f>
        <v/>
      </c>
      <c r="G75" s="304" t="str">
        <f>IF(基本情報入力シート!X105="","",基本情報入力シート!X105)</f>
        <v/>
      </c>
      <c r="H75" s="297" t="str">
        <f>IF(基本情報入力シート!Z105="","",基本情報入力シート!Z105)</f>
        <v/>
      </c>
      <c r="I75" s="298" t="str">
        <f>IF(基本情報入力シート!AE105&lt;&gt;"", 基本情報入力シート!AE105, "")</f>
        <v/>
      </c>
      <c r="J75" s="56" t="str">
        <f>IF(基本情報入力シート!AA105="","",基本情報入力シート!AA105)</f>
        <v/>
      </c>
      <c r="K75" s="59" t="str">
        <f>IF(基本情報入力シート!AD105="","",基本情報入力シート!AD105)</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IF(基本情報入力シート!B106="","",基本情報入力シート!B106)</f>
        <v/>
      </c>
      <c r="C76" s="304" t="str">
        <f>IF(基本情報入力シート!L106="","",基本情報入力シート!L106)</f>
        <v/>
      </c>
      <c r="D76" s="304" t="str">
        <f>IF(基本情報入力シート!Q106="","",基本情報入力シート!Q106)</f>
        <v/>
      </c>
      <c r="E76" s="304" t="str">
        <f>IF(基本情報入力シート!V106="","",基本情報入力シート!V106)</f>
        <v/>
      </c>
      <c r="F76" s="304" t="str">
        <f>IF(基本情報入力シート!W106="","",基本情報入力シート!W106)</f>
        <v/>
      </c>
      <c r="G76" s="304" t="str">
        <f>IF(基本情報入力シート!X106="","",基本情報入力シート!X106)</f>
        <v/>
      </c>
      <c r="H76" s="297" t="str">
        <f>IF(基本情報入力シート!Z106="","",基本情報入力シート!Z106)</f>
        <v/>
      </c>
      <c r="I76" s="298" t="str">
        <f>IF(基本情報入力シート!AE106&lt;&gt;"", 基本情報入力シート!AE106, "")</f>
        <v/>
      </c>
      <c r="J76" s="56" t="str">
        <f>IF(基本情報入力シート!AA106="","",基本情報入力シート!AA106)</f>
        <v/>
      </c>
      <c r="K76" s="59" t="str">
        <f>IF(基本情報入力シート!AD106="","",基本情報入力シート!AD106)</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IF(基本情報入力シート!B107="","",基本情報入力シート!B107)</f>
        <v/>
      </c>
      <c r="C77" s="304" t="str">
        <f>IF(基本情報入力シート!L107="","",基本情報入力シート!L107)</f>
        <v/>
      </c>
      <c r="D77" s="304" t="str">
        <f>IF(基本情報入力シート!Q107="","",基本情報入力シート!Q107)</f>
        <v/>
      </c>
      <c r="E77" s="304" t="str">
        <f>IF(基本情報入力シート!V107="","",基本情報入力シート!V107)</f>
        <v/>
      </c>
      <c r="F77" s="304" t="str">
        <f>IF(基本情報入力シート!W107="","",基本情報入力シート!W107)</f>
        <v/>
      </c>
      <c r="G77" s="304" t="str">
        <f>IF(基本情報入力シート!X107="","",基本情報入力シート!X107)</f>
        <v/>
      </c>
      <c r="H77" s="297" t="str">
        <f>IF(基本情報入力シート!Z107="","",基本情報入力シート!Z107)</f>
        <v/>
      </c>
      <c r="I77" s="298" t="str">
        <f>IF(基本情報入力シート!AE107&lt;&gt;"", 基本情報入力シート!AE107, "")</f>
        <v/>
      </c>
      <c r="J77" s="56" t="str">
        <f>IF(基本情報入力シート!AA107="","",基本情報入力シート!AA107)</f>
        <v/>
      </c>
      <c r="K77" s="59" t="str">
        <f>IF(基本情報入力シート!AD107="","",基本情報入力シート!AD107)</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IF(基本情報入力シート!B108="","",基本情報入力シート!B108)</f>
        <v/>
      </c>
      <c r="C78" s="304" t="str">
        <f>IF(基本情報入力シート!L108="","",基本情報入力シート!L108)</f>
        <v/>
      </c>
      <c r="D78" s="304" t="str">
        <f>IF(基本情報入力シート!Q108="","",基本情報入力シート!Q108)</f>
        <v/>
      </c>
      <c r="E78" s="304" t="str">
        <f>IF(基本情報入力シート!V108="","",基本情報入力シート!V108)</f>
        <v/>
      </c>
      <c r="F78" s="304" t="str">
        <f>IF(基本情報入力シート!W108="","",基本情報入力シート!W108)</f>
        <v/>
      </c>
      <c r="G78" s="304" t="str">
        <f>IF(基本情報入力シート!X108="","",基本情報入力シート!X108)</f>
        <v/>
      </c>
      <c r="H78" s="297" t="str">
        <f>IF(基本情報入力シート!Z108="","",基本情報入力シート!Z108)</f>
        <v/>
      </c>
      <c r="I78" s="298" t="str">
        <f>IF(基本情報入力シート!AE108&lt;&gt;"", 基本情報入力シート!AE108, "")</f>
        <v/>
      </c>
      <c r="J78" s="56" t="str">
        <f>IF(基本情報入力シート!AA108="","",基本情報入力シート!AA108)</f>
        <v/>
      </c>
      <c r="K78" s="59" t="str">
        <f>IF(基本情報入力シート!AD108="","",基本情報入力シート!AD108)</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IF(基本情報入力シート!B109="","",基本情報入力シート!B109)</f>
        <v/>
      </c>
      <c r="C79" s="304" t="str">
        <f>IF(基本情報入力シート!L109="","",基本情報入力シート!L109)</f>
        <v/>
      </c>
      <c r="D79" s="304" t="str">
        <f>IF(基本情報入力シート!Q109="","",基本情報入力シート!Q109)</f>
        <v/>
      </c>
      <c r="E79" s="304" t="str">
        <f>IF(基本情報入力シート!V109="","",基本情報入力シート!V109)</f>
        <v/>
      </c>
      <c r="F79" s="304" t="str">
        <f>IF(基本情報入力シート!W109="","",基本情報入力シート!W109)</f>
        <v/>
      </c>
      <c r="G79" s="304" t="str">
        <f>IF(基本情報入力シート!X109="","",基本情報入力シート!X109)</f>
        <v/>
      </c>
      <c r="H79" s="297" t="str">
        <f>IF(基本情報入力シート!Z109="","",基本情報入力シート!Z109)</f>
        <v/>
      </c>
      <c r="I79" s="298" t="str">
        <f>IF(基本情報入力シート!AE109&lt;&gt;"", 基本情報入力シート!AE109, "")</f>
        <v/>
      </c>
      <c r="J79" s="56" t="str">
        <f>IF(基本情報入力シート!AA109="","",基本情報入力シート!AA109)</f>
        <v/>
      </c>
      <c r="K79" s="59" t="str">
        <f>IF(基本情報入力シート!AD109="","",基本情報入力シート!AD109)</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IF(基本情報入力シート!B110="","",基本情報入力シート!B110)</f>
        <v/>
      </c>
      <c r="C80" s="304" t="str">
        <f>IF(基本情報入力シート!L110="","",基本情報入力シート!L110)</f>
        <v/>
      </c>
      <c r="D80" s="304" t="str">
        <f>IF(基本情報入力シート!Q110="","",基本情報入力シート!Q110)</f>
        <v/>
      </c>
      <c r="E80" s="304" t="str">
        <f>IF(基本情報入力シート!V110="","",基本情報入力シート!V110)</f>
        <v/>
      </c>
      <c r="F80" s="304" t="str">
        <f>IF(基本情報入力シート!W110="","",基本情報入力シート!W110)</f>
        <v/>
      </c>
      <c r="G80" s="304" t="str">
        <f>IF(基本情報入力シート!X110="","",基本情報入力シート!X110)</f>
        <v/>
      </c>
      <c r="H80" s="297" t="str">
        <f>IF(基本情報入力シート!Z110="","",基本情報入力シート!Z110)</f>
        <v/>
      </c>
      <c r="I80" s="298" t="str">
        <f>IF(基本情報入力シート!AE110&lt;&gt;"", 基本情報入力シート!AE110, "")</f>
        <v/>
      </c>
      <c r="J80" s="56" t="str">
        <f>IF(基本情報入力シート!AA110="","",基本情報入力シート!AA110)</f>
        <v/>
      </c>
      <c r="K80" s="59" t="str">
        <f>IF(基本情報入力シート!AD110="","",基本情報入力シート!AD110)</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IF(基本情報入力シート!B111="","",基本情報入力シート!B111)</f>
        <v/>
      </c>
      <c r="C81" s="304" t="str">
        <f>IF(基本情報入力シート!L111="","",基本情報入力シート!L111)</f>
        <v/>
      </c>
      <c r="D81" s="304" t="str">
        <f>IF(基本情報入力シート!Q111="","",基本情報入力シート!Q111)</f>
        <v/>
      </c>
      <c r="E81" s="304" t="str">
        <f>IF(基本情報入力シート!V111="","",基本情報入力シート!V111)</f>
        <v/>
      </c>
      <c r="F81" s="304" t="str">
        <f>IF(基本情報入力シート!W111="","",基本情報入力シート!W111)</f>
        <v/>
      </c>
      <c r="G81" s="304" t="str">
        <f>IF(基本情報入力シート!X111="","",基本情報入力シート!X111)</f>
        <v/>
      </c>
      <c r="H81" s="297" t="str">
        <f>IF(基本情報入力シート!Z111="","",基本情報入力シート!Z111)</f>
        <v/>
      </c>
      <c r="I81" s="298" t="str">
        <f>IF(基本情報入力シート!AE111&lt;&gt;"", 基本情報入力シート!AE111, "")</f>
        <v/>
      </c>
      <c r="J81" s="56" t="str">
        <f>IF(基本情報入力シート!AA111="","",基本情報入力シート!AA111)</f>
        <v/>
      </c>
      <c r="K81" s="59" t="str">
        <f>IF(基本情報入力シート!AD111="","",基本情報入力シート!AD111)</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IF(基本情報入力シート!B112="","",基本情報入力シート!B112)</f>
        <v/>
      </c>
      <c r="C82" s="304" t="str">
        <f>IF(基本情報入力シート!L112="","",基本情報入力シート!L112)</f>
        <v/>
      </c>
      <c r="D82" s="304" t="str">
        <f>IF(基本情報入力シート!Q112="","",基本情報入力シート!Q112)</f>
        <v/>
      </c>
      <c r="E82" s="304" t="str">
        <f>IF(基本情報入力シート!V112="","",基本情報入力シート!V112)</f>
        <v/>
      </c>
      <c r="F82" s="304" t="str">
        <f>IF(基本情報入力シート!W112="","",基本情報入力シート!W112)</f>
        <v/>
      </c>
      <c r="G82" s="304" t="str">
        <f>IF(基本情報入力シート!X112="","",基本情報入力シート!X112)</f>
        <v/>
      </c>
      <c r="H82" s="297" t="str">
        <f>IF(基本情報入力シート!Z112="","",基本情報入力シート!Z112)</f>
        <v/>
      </c>
      <c r="I82" s="298" t="str">
        <f>IF(基本情報入力シート!AE112&lt;&gt;"", 基本情報入力シート!AE112, "")</f>
        <v/>
      </c>
      <c r="J82" s="56" t="str">
        <f>IF(基本情報入力シート!AA112="","",基本情報入力シート!AA112)</f>
        <v/>
      </c>
      <c r="K82" s="59" t="str">
        <f>IF(基本情報入力シート!AD112="","",基本情報入力シート!AD112)</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IF(基本情報入力シート!B113="","",基本情報入力シート!B113)</f>
        <v/>
      </c>
      <c r="C83" s="304" t="str">
        <f>IF(基本情報入力シート!L113="","",基本情報入力シート!L113)</f>
        <v/>
      </c>
      <c r="D83" s="304" t="str">
        <f>IF(基本情報入力シート!Q113="","",基本情報入力シート!Q113)</f>
        <v/>
      </c>
      <c r="E83" s="304" t="str">
        <f>IF(基本情報入力シート!V113="","",基本情報入力シート!V113)</f>
        <v/>
      </c>
      <c r="F83" s="304" t="str">
        <f>IF(基本情報入力シート!W113="","",基本情報入力シート!W113)</f>
        <v/>
      </c>
      <c r="G83" s="304" t="str">
        <f>IF(基本情報入力シート!X113="","",基本情報入力シート!X113)</f>
        <v/>
      </c>
      <c r="H83" s="297" t="str">
        <f>IF(基本情報入力シート!Z113="","",基本情報入力シート!Z113)</f>
        <v/>
      </c>
      <c r="I83" s="298" t="str">
        <f>IF(基本情報入力シート!AE113&lt;&gt;"", 基本情報入力シート!AE113, "")</f>
        <v/>
      </c>
      <c r="J83" s="56" t="str">
        <f>IF(基本情報入力シート!AA113="","",基本情報入力シート!AA113)</f>
        <v/>
      </c>
      <c r="K83" s="59" t="str">
        <f>IF(基本情報入力シート!AD113="","",基本情報入力シート!AD113)</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IF(基本情報入力シート!B114="","",基本情報入力シート!B114)</f>
        <v/>
      </c>
      <c r="C84" s="304" t="str">
        <f>IF(基本情報入力シート!L114="","",基本情報入力シート!L114)</f>
        <v/>
      </c>
      <c r="D84" s="304" t="str">
        <f>IF(基本情報入力シート!Q114="","",基本情報入力シート!Q114)</f>
        <v/>
      </c>
      <c r="E84" s="304" t="str">
        <f>IF(基本情報入力シート!V114="","",基本情報入力シート!V114)</f>
        <v/>
      </c>
      <c r="F84" s="304" t="str">
        <f>IF(基本情報入力シート!W114="","",基本情報入力シート!W114)</f>
        <v/>
      </c>
      <c r="G84" s="304" t="str">
        <f>IF(基本情報入力シート!X114="","",基本情報入力シート!X114)</f>
        <v/>
      </c>
      <c r="H84" s="297" t="str">
        <f>IF(基本情報入力シート!Z114="","",基本情報入力シート!Z114)</f>
        <v/>
      </c>
      <c r="I84" s="298" t="str">
        <f>IF(基本情報入力シート!AE114&lt;&gt;"", 基本情報入力シート!AE114, "")</f>
        <v/>
      </c>
      <c r="J84" s="56" t="str">
        <f>IF(基本情報入力シート!AA114="","",基本情報入力シート!AA114)</f>
        <v/>
      </c>
      <c r="K84" s="59" t="str">
        <f>IF(基本情報入力シート!AD114="","",基本情報入力シート!AD114)</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IF(基本情報入力シート!B115="","",基本情報入力シート!B115)</f>
        <v/>
      </c>
      <c r="C85" s="304" t="str">
        <f>IF(基本情報入力シート!L115="","",基本情報入力シート!L115)</f>
        <v/>
      </c>
      <c r="D85" s="304" t="str">
        <f>IF(基本情報入力シート!Q115="","",基本情報入力シート!Q115)</f>
        <v/>
      </c>
      <c r="E85" s="304" t="str">
        <f>IF(基本情報入力シート!V115="","",基本情報入力シート!V115)</f>
        <v/>
      </c>
      <c r="F85" s="304" t="str">
        <f>IF(基本情報入力シート!W115="","",基本情報入力シート!W115)</f>
        <v/>
      </c>
      <c r="G85" s="304" t="str">
        <f>IF(基本情報入力シート!X115="","",基本情報入力シート!X115)</f>
        <v/>
      </c>
      <c r="H85" s="297" t="str">
        <f>IF(基本情報入力シート!Z115="","",基本情報入力シート!Z115)</f>
        <v/>
      </c>
      <c r="I85" s="298" t="str">
        <f>IF(基本情報入力シート!AE115&lt;&gt;"", 基本情報入力シート!AE115, "")</f>
        <v/>
      </c>
      <c r="J85" s="56" t="str">
        <f>IF(基本情報入力シート!AA115="","",基本情報入力シート!AA115)</f>
        <v/>
      </c>
      <c r="K85" s="59" t="str">
        <f>IF(基本情報入力シート!AD115="","",基本情報入力シート!AD115)</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IF(基本情報入力シート!B116="","",基本情報入力シート!B116)</f>
        <v/>
      </c>
      <c r="C86" s="304" t="str">
        <f>IF(基本情報入力シート!L116="","",基本情報入力シート!L116)</f>
        <v/>
      </c>
      <c r="D86" s="304" t="str">
        <f>IF(基本情報入力シート!Q116="","",基本情報入力シート!Q116)</f>
        <v/>
      </c>
      <c r="E86" s="304" t="str">
        <f>IF(基本情報入力シート!V116="","",基本情報入力シート!V116)</f>
        <v/>
      </c>
      <c r="F86" s="304" t="str">
        <f>IF(基本情報入力シート!W116="","",基本情報入力シート!W116)</f>
        <v/>
      </c>
      <c r="G86" s="304" t="str">
        <f>IF(基本情報入力シート!X116="","",基本情報入力シート!X116)</f>
        <v/>
      </c>
      <c r="H86" s="297" t="str">
        <f>IF(基本情報入力シート!Z116="","",基本情報入力シート!Z116)</f>
        <v/>
      </c>
      <c r="I86" s="298" t="str">
        <f>IF(基本情報入力シート!AE116&lt;&gt;"", 基本情報入力シート!AE116, "")</f>
        <v/>
      </c>
      <c r="J86" s="56" t="str">
        <f>IF(基本情報入力シート!AA116="","",基本情報入力シート!AA116)</f>
        <v/>
      </c>
      <c r="K86" s="59" t="str">
        <f>IF(基本情報入力シート!AD116="","",基本情報入力シート!AD116)</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IF(基本情報入力シート!B117="","",基本情報入力シート!B117)</f>
        <v/>
      </c>
      <c r="C87" s="304" t="str">
        <f>IF(基本情報入力シート!L117="","",基本情報入力シート!L117)</f>
        <v/>
      </c>
      <c r="D87" s="304" t="str">
        <f>IF(基本情報入力シート!Q117="","",基本情報入力シート!Q117)</f>
        <v/>
      </c>
      <c r="E87" s="304" t="str">
        <f>IF(基本情報入力シート!V117="","",基本情報入力シート!V117)</f>
        <v/>
      </c>
      <c r="F87" s="304" t="str">
        <f>IF(基本情報入力シート!W117="","",基本情報入力シート!W117)</f>
        <v/>
      </c>
      <c r="G87" s="304" t="str">
        <f>IF(基本情報入力シート!X117="","",基本情報入力シート!X117)</f>
        <v/>
      </c>
      <c r="H87" s="297" t="str">
        <f>IF(基本情報入力シート!Z117="","",基本情報入力シート!Z117)</f>
        <v/>
      </c>
      <c r="I87" s="298" t="str">
        <f>IF(基本情報入力シート!AE117&lt;&gt;"", 基本情報入力シート!AE117, "")</f>
        <v/>
      </c>
      <c r="J87" s="56" t="str">
        <f>IF(基本情報入力シート!AA117="","",基本情報入力シート!AA117)</f>
        <v/>
      </c>
      <c r="K87" s="59" t="str">
        <f>IF(基本情報入力シート!AD117="","",基本情報入力シート!AD117)</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IF(基本情報入力シート!B118="","",基本情報入力シート!B118)</f>
        <v/>
      </c>
      <c r="C88" s="304" t="str">
        <f>IF(基本情報入力シート!L118="","",基本情報入力シート!L118)</f>
        <v/>
      </c>
      <c r="D88" s="304" t="str">
        <f>IF(基本情報入力シート!Q118="","",基本情報入力シート!Q118)</f>
        <v/>
      </c>
      <c r="E88" s="304" t="str">
        <f>IF(基本情報入力シート!V118="","",基本情報入力シート!V118)</f>
        <v/>
      </c>
      <c r="F88" s="304" t="str">
        <f>IF(基本情報入力シート!W118="","",基本情報入力シート!W118)</f>
        <v/>
      </c>
      <c r="G88" s="304" t="str">
        <f>IF(基本情報入力シート!X118="","",基本情報入力シート!X118)</f>
        <v/>
      </c>
      <c r="H88" s="297" t="str">
        <f>IF(基本情報入力シート!Z118="","",基本情報入力シート!Z118)</f>
        <v/>
      </c>
      <c r="I88" s="298" t="str">
        <f>IF(基本情報入力シート!AE118&lt;&gt;"", 基本情報入力シート!AE118, "")</f>
        <v/>
      </c>
      <c r="J88" s="56" t="str">
        <f>IF(基本情報入力シート!AA118="","",基本情報入力シート!AA118)</f>
        <v/>
      </c>
      <c r="K88" s="59" t="str">
        <f>IF(基本情報入力シート!AD118="","",基本情報入力シート!AD118)</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IF(基本情報入力シート!B119="","",基本情報入力シート!B119)</f>
        <v/>
      </c>
      <c r="C89" s="304" t="str">
        <f>IF(基本情報入力シート!L119="","",基本情報入力シート!L119)</f>
        <v/>
      </c>
      <c r="D89" s="304" t="str">
        <f>IF(基本情報入力シート!Q119="","",基本情報入力シート!Q119)</f>
        <v/>
      </c>
      <c r="E89" s="304" t="str">
        <f>IF(基本情報入力シート!V119="","",基本情報入力シート!V119)</f>
        <v/>
      </c>
      <c r="F89" s="304" t="str">
        <f>IF(基本情報入力シート!W119="","",基本情報入力シート!W119)</f>
        <v/>
      </c>
      <c r="G89" s="304" t="str">
        <f>IF(基本情報入力シート!X119="","",基本情報入力シート!X119)</f>
        <v/>
      </c>
      <c r="H89" s="297" t="str">
        <f>IF(基本情報入力シート!Z119="","",基本情報入力シート!Z119)</f>
        <v/>
      </c>
      <c r="I89" s="298" t="str">
        <f>IF(基本情報入力シート!AE119&lt;&gt;"", 基本情報入力シート!AE119, "")</f>
        <v/>
      </c>
      <c r="J89" s="56" t="str">
        <f>IF(基本情報入力シート!AA119="","",基本情報入力シート!AA119)</f>
        <v/>
      </c>
      <c r="K89" s="59" t="str">
        <f>IF(基本情報入力シート!AD119="","",基本情報入力シート!AD119)</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IF(基本情報入力シート!B120="","",基本情報入力シート!B120)</f>
        <v/>
      </c>
      <c r="C90" s="304" t="str">
        <f>IF(基本情報入力シート!L120="","",基本情報入力シート!L120)</f>
        <v/>
      </c>
      <c r="D90" s="304" t="str">
        <f>IF(基本情報入力シート!Q120="","",基本情報入力シート!Q120)</f>
        <v/>
      </c>
      <c r="E90" s="304" t="str">
        <f>IF(基本情報入力シート!V120="","",基本情報入力シート!V120)</f>
        <v/>
      </c>
      <c r="F90" s="304" t="str">
        <f>IF(基本情報入力シート!W120="","",基本情報入力シート!W120)</f>
        <v/>
      </c>
      <c r="G90" s="304" t="str">
        <f>IF(基本情報入力シート!X120="","",基本情報入力シート!X120)</f>
        <v/>
      </c>
      <c r="H90" s="297" t="str">
        <f>IF(基本情報入力シート!Z120="","",基本情報入力シート!Z120)</f>
        <v/>
      </c>
      <c r="I90" s="298" t="str">
        <f>IF(基本情報入力シート!AE120&lt;&gt;"", 基本情報入力シート!AE120, "")</f>
        <v/>
      </c>
      <c r="J90" s="56" t="str">
        <f>IF(基本情報入力シート!AA120="","",基本情報入力シート!AA120)</f>
        <v/>
      </c>
      <c r="K90" s="59" t="str">
        <f>IF(基本情報入力シート!AD120="","",基本情報入力シート!AD120)</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IF(基本情報入力シート!B121="","",基本情報入力シート!B121)</f>
        <v/>
      </c>
      <c r="C91" s="304" t="str">
        <f>IF(基本情報入力シート!L121="","",基本情報入力シート!L121)</f>
        <v/>
      </c>
      <c r="D91" s="304" t="str">
        <f>IF(基本情報入力シート!Q121="","",基本情報入力シート!Q121)</f>
        <v/>
      </c>
      <c r="E91" s="304" t="str">
        <f>IF(基本情報入力シート!V121="","",基本情報入力シート!V121)</f>
        <v/>
      </c>
      <c r="F91" s="304" t="str">
        <f>IF(基本情報入力シート!W121="","",基本情報入力シート!W121)</f>
        <v/>
      </c>
      <c r="G91" s="304" t="str">
        <f>IF(基本情報入力シート!X121="","",基本情報入力シート!X121)</f>
        <v/>
      </c>
      <c r="H91" s="297" t="str">
        <f>IF(基本情報入力シート!Z121="","",基本情報入力シート!Z121)</f>
        <v/>
      </c>
      <c r="I91" s="298" t="str">
        <f>IF(基本情報入力シート!AE121&lt;&gt;"", 基本情報入力シート!AE121, "")</f>
        <v/>
      </c>
      <c r="J91" s="56" t="str">
        <f>IF(基本情報入力シート!AA121="","",基本情報入力シート!AA121)</f>
        <v/>
      </c>
      <c r="K91" s="59" t="str">
        <f>IF(基本情報入力シート!AD121="","",基本情報入力シート!AD121)</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IF(基本情報入力シート!B122="","",基本情報入力シート!B122)</f>
        <v/>
      </c>
      <c r="C92" s="304" t="str">
        <f>IF(基本情報入力シート!L122="","",基本情報入力シート!L122)</f>
        <v/>
      </c>
      <c r="D92" s="304" t="str">
        <f>IF(基本情報入力シート!Q122="","",基本情報入力シート!Q122)</f>
        <v/>
      </c>
      <c r="E92" s="304" t="str">
        <f>IF(基本情報入力シート!V122="","",基本情報入力シート!V122)</f>
        <v/>
      </c>
      <c r="F92" s="304" t="str">
        <f>IF(基本情報入力シート!W122="","",基本情報入力シート!W122)</f>
        <v/>
      </c>
      <c r="G92" s="304" t="str">
        <f>IF(基本情報入力シート!X122="","",基本情報入力シート!X122)</f>
        <v/>
      </c>
      <c r="H92" s="297" t="str">
        <f>IF(基本情報入力シート!Z122="","",基本情報入力シート!Z122)</f>
        <v/>
      </c>
      <c r="I92" s="298" t="str">
        <f>IF(基本情報入力シート!AE122&lt;&gt;"", 基本情報入力シート!AE122, "")</f>
        <v/>
      </c>
      <c r="J92" s="56" t="str">
        <f>IF(基本情報入力シート!AA122="","",基本情報入力シート!AA122)</f>
        <v/>
      </c>
      <c r="K92" s="59" t="str">
        <f>IF(基本情報入力シート!AD122="","",基本情報入力シート!AD122)</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IF(基本情報入力シート!B123="","",基本情報入力シート!B123)</f>
        <v/>
      </c>
      <c r="C93" s="304" t="str">
        <f>IF(基本情報入力シート!L123="","",基本情報入力シート!L123)</f>
        <v/>
      </c>
      <c r="D93" s="304" t="str">
        <f>IF(基本情報入力シート!Q123="","",基本情報入力シート!Q123)</f>
        <v/>
      </c>
      <c r="E93" s="304" t="str">
        <f>IF(基本情報入力シート!V123="","",基本情報入力シート!V123)</f>
        <v/>
      </c>
      <c r="F93" s="304" t="str">
        <f>IF(基本情報入力シート!W123="","",基本情報入力シート!W123)</f>
        <v/>
      </c>
      <c r="G93" s="304" t="str">
        <f>IF(基本情報入力シート!X123="","",基本情報入力シート!X123)</f>
        <v/>
      </c>
      <c r="H93" s="297" t="str">
        <f>IF(基本情報入力シート!Z123="","",基本情報入力シート!Z123)</f>
        <v/>
      </c>
      <c r="I93" s="298" t="str">
        <f>IF(基本情報入力シート!AE123&lt;&gt;"", 基本情報入力シート!AE123, "")</f>
        <v/>
      </c>
      <c r="J93" s="56" t="str">
        <f>IF(基本情報入力シート!AA123="","",基本情報入力シート!AA123)</f>
        <v/>
      </c>
      <c r="K93" s="59" t="str">
        <f>IF(基本情報入力シート!AD123="","",基本情報入力シート!AD123)</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IF(基本情報入力シート!B124="","",基本情報入力シート!B124)</f>
        <v/>
      </c>
      <c r="C94" s="304" t="str">
        <f>IF(基本情報入力シート!L124="","",基本情報入力シート!L124)</f>
        <v/>
      </c>
      <c r="D94" s="304" t="str">
        <f>IF(基本情報入力シート!Q124="","",基本情報入力シート!Q124)</f>
        <v/>
      </c>
      <c r="E94" s="304" t="str">
        <f>IF(基本情報入力シート!V124="","",基本情報入力シート!V124)</f>
        <v/>
      </c>
      <c r="F94" s="304" t="str">
        <f>IF(基本情報入力シート!W124="","",基本情報入力シート!W124)</f>
        <v/>
      </c>
      <c r="G94" s="304" t="str">
        <f>IF(基本情報入力シート!X124="","",基本情報入力シート!X124)</f>
        <v/>
      </c>
      <c r="H94" s="297" t="str">
        <f>IF(基本情報入力シート!Z124="","",基本情報入力シート!Z124)</f>
        <v/>
      </c>
      <c r="I94" s="298" t="str">
        <f>IF(基本情報入力シート!AE124&lt;&gt;"", 基本情報入力シート!AE124, "")</f>
        <v/>
      </c>
      <c r="J94" s="56" t="str">
        <f>IF(基本情報入力シート!AA124="","",基本情報入力シート!AA124)</f>
        <v/>
      </c>
      <c r="K94" s="59" t="str">
        <f>IF(基本情報入力シート!AD124="","",基本情報入力シート!AD124)</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IF(基本情報入力シート!B125="","",基本情報入力シート!B125)</f>
        <v/>
      </c>
      <c r="C95" s="304" t="str">
        <f>IF(基本情報入力シート!L125="","",基本情報入力シート!L125)</f>
        <v/>
      </c>
      <c r="D95" s="304" t="str">
        <f>IF(基本情報入力シート!Q125="","",基本情報入力シート!Q125)</f>
        <v/>
      </c>
      <c r="E95" s="304" t="str">
        <f>IF(基本情報入力シート!V125="","",基本情報入力シート!V125)</f>
        <v/>
      </c>
      <c r="F95" s="304" t="str">
        <f>IF(基本情報入力シート!W125="","",基本情報入力シート!W125)</f>
        <v/>
      </c>
      <c r="G95" s="304" t="str">
        <f>IF(基本情報入力シート!X125="","",基本情報入力シート!X125)</f>
        <v/>
      </c>
      <c r="H95" s="297" t="str">
        <f>IF(基本情報入力シート!Z125="","",基本情報入力シート!Z125)</f>
        <v/>
      </c>
      <c r="I95" s="298" t="str">
        <f>IF(基本情報入力シート!AE125&lt;&gt;"", 基本情報入力シート!AE125, "")</f>
        <v/>
      </c>
      <c r="J95" s="56" t="str">
        <f>IF(基本情報入力シート!AA125="","",基本情報入力シート!AA125)</f>
        <v/>
      </c>
      <c r="K95" s="59" t="str">
        <f>IF(基本情報入力シート!AD125="","",基本情報入力シート!AD125)</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IF(基本情報入力シート!B126="","",基本情報入力シート!B126)</f>
        <v/>
      </c>
      <c r="C96" s="304" t="str">
        <f>IF(基本情報入力シート!L126="","",基本情報入力シート!L126)</f>
        <v/>
      </c>
      <c r="D96" s="304" t="str">
        <f>IF(基本情報入力シート!Q126="","",基本情報入力シート!Q126)</f>
        <v/>
      </c>
      <c r="E96" s="304" t="str">
        <f>IF(基本情報入力シート!V126="","",基本情報入力シート!V126)</f>
        <v/>
      </c>
      <c r="F96" s="304" t="str">
        <f>IF(基本情報入力シート!W126="","",基本情報入力シート!W126)</f>
        <v/>
      </c>
      <c r="G96" s="304" t="str">
        <f>IF(基本情報入力シート!X126="","",基本情報入力シート!X126)</f>
        <v/>
      </c>
      <c r="H96" s="297" t="str">
        <f>IF(基本情報入力シート!Z126="","",基本情報入力シート!Z126)</f>
        <v/>
      </c>
      <c r="I96" s="298" t="str">
        <f>IF(基本情報入力シート!AE126&lt;&gt;"", 基本情報入力シート!AE126, "")</f>
        <v/>
      </c>
      <c r="J96" s="56" t="str">
        <f>IF(基本情報入力シート!AA126="","",基本情報入力シート!AA126)</f>
        <v/>
      </c>
      <c r="K96" s="59" t="str">
        <f>IF(基本情報入力シート!AD126="","",基本情報入力シート!AD126)</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IF(基本情報入力シート!B127="","",基本情報入力シート!B127)</f>
        <v/>
      </c>
      <c r="C97" s="304" t="str">
        <f>IF(基本情報入力シート!L127="","",基本情報入力シート!L127)</f>
        <v/>
      </c>
      <c r="D97" s="304" t="str">
        <f>IF(基本情報入力シート!Q127="","",基本情報入力シート!Q127)</f>
        <v/>
      </c>
      <c r="E97" s="304" t="str">
        <f>IF(基本情報入力シート!V127="","",基本情報入力シート!V127)</f>
        <v/>
      </c>
      <c r="F97" s="304" t="str">
        <f>IF(基本情報入力シート!W127="","",基本情報入力シート!W127)</f>
        <v/>
      </c>
      <c r="G97" s="304" t="str">
        <f>IF(基本情報入力シート!X127="","",基本情報入力シート!X127)</f>
        <v/>
      </c>
      <c r="H97" s="297" t="str">
        <f>IF(基本情報入力シート!Z127="","",基本情報入力シート!Z127)</f>
        <v/>
      </c>
      <c r="I97" s="298" t="str">
        <f>IF(基本情報入力シート!AE127&lt;&gt;"", 基本情報入力シート!AE127, "")</f>
        <v/>
      </c>
      <c r="J97" s="56" t="str">
        <f>IF(基本情報入力シート!AA127="","",基本情報入力シート!AA127)</f>
        <v/>
      </c>
      <c r="K97" s="59" t="str">
        <f>IF(基本情報入力シート!AD127="","",基本情報入力シート!AD127)</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IF(基本情報入力シート!B128="","",基本情報入力シート!B128)</f>
        <v/>
      </c>
      <c r="C98" s="304" t="str">
        <f>IF(基本情報入力シート!L128="","",基本情報入力シート!L128)</f>
        <v/>
      </c>
      <c r="D98" s="304" t="str">
        <f>IF(基本情報入力シート!Q128="","",基本情報入力シート!Q128)</f>
        <v/>
      </c>
      <c r="E98" s="304" t="str">
        <f>IF(基本情報入力シート!V128="","",基本情報入力シート!V128)</f>
        <v/>
      </c>
      <c r="F98" s="304" t="str">
        <f>IF(基本情報入力シート!W128="","",基本情報入力シート!W128)</f>
        <v/>
      </c>
      <c r="G98" s="304" t="str">
        <f>IF(基本情報入力シート!X128="","",基本情報入力シート!X128)</f>
        <v/>
      </c>
      <c r="H98" s="297" t="str">
        <f>IF(基本情報入力シート!Z128="","",基本情報入力シート!Z128)</f>
        <v/>
      </c>
      <c r="I98" s="298" t="str">
        <f>IF(基本情報入力シート!AE128&lt;&gt;"", 基本情報入力シート!AE128, "")</f>
        <v/>
      </c>
      <c r="J98" s="56" t="str">
        <f>IF(基本情報入力シート!AA128="","",基本情報入力シート!AA128)</f>
        <v/>
      </c>
      <c r="K98" s="59" t="str">
        <f>IF(基本情報入力シート!AD128="","",基本情報入力シート!AD128)</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IF(基本情報入力シート!B129="","",基本情報入力シート!B129)</f>
        <v/>
      </c>
      <c r="C99" s="304" t="str">
        <f>IF(基本情報入力シート!L129="","",基本情報入力シート!L129)</f>
        <v/>
      </c>
      <c r="D99" s="304" t="str">
        <f>IF(基本情報入力シート!Q129="","",基本情報入力シート!Q129)</f>
        <v/>
      </c>
      <c r="E99" s="304" t="str">
        <f>IF(基本情報入力シート!V129="","",基本情報入力シート!V129)</f>
        <v/>
      </c>
      <c r="F99" s="304" t="str">
        <f>IF(基本情報入力シート!W129="","",基本情報入力シート!W129)</f>
        <v/>
      </c>
      <c r="G99" s="304" t="str">
        <f>IF(基本情報入力シート!X129="","",基本情報入力シート!X129)</f>
        <v/>
      </c>
      <c r="H99" s="297" t="str">
        <f>IF(基本情報入力シート!Z129="","",基本情報入力シート!Z129)</f>
        <v/>
      </c>
      <c r="I99" s="298" t="str">
        <f>IF(基本情報入力シート!AE129&lt;&gt;"", 基本情報入力シート!AE129, "")</f>
        <v/>
      </c>
      <c r="J99" s="56" t="str">
        <f>IF(基本情報入力シート!AA129="","",基本情報入力シート!AA129)</f>
        <v/>
      </c>
      <c r="K99" s="59" t="str">
        <f>IF(基本情報入力シート!AD129="","",基本情報入力シート!AD129)</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IF(基本情報入力シート!B130="","",基本情報入力シート!B130)</f>
        <v/>
      </c>
      <c r="C100" s="304" t="str">
        <f>IF(基本情報入力シート!L130="","",基本情報入力シート!L130)</f>
        <v/>
      </c>
      <c r="D100" s="304" t="str">
        <f>IF(基本情報入力シート!Q130="","",基本情報入力シート!Q130)</f>
        <v/>
      </c>
      <c r="E100" s="304" t="str">
        <f>IF(基本情報入力シート!V130="","",基本情報入力シート!V130)</f>
        <v/>
      </c>
      <c r="F100" s="304" t="str">
        <f>IF(基本情報入力シート!W130="","",基本情報入力シート!W130)</f>
        <v/>
      </c>
      <c r="G100" s="304" t="str">
        <f>IF(基本情報入力シート!X130="","",基本情報入力シート!X130)</f>
        <v/>
      </c>
      <c r="H100" s="297" t="str">
        <f>IF(基本情報入力シート!Z130="","",基本情報入力シート!Z130)</f>
        <v/>
      </c>
      <c r="I100" s="298" t="str">
        <f>IF(基本情報入力シート!AE130&lt;&gt;"", 基本情報入力シート!AE130, "")</f>
        <v/>
      </c>
      <c r="J100" s="56" t="str">
        <f>IF(基本情報入力シート!AA130="","",基本情報入力シート!AA130)</f>
        <v/>
      </c>
      <c r="K100" s="59" t="str">
        <f>IF(基本情報入力シート!AD130="","",基本情報入力シート!AD130)</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IF(基本情報入力シート!B131="","",基本情報入力シート!B131)</f>
        <v/>
      </c>
      <c r="C101" s="304" t="str">
        <f>IF(基本情報入力シート!L131="","",基本情報入力シート!L131)</f>
        <v/>
      </c>
      <c r="D101" s="304" t="str">
        <f>IF(基本情報入力シート!Q131="","",基本情報入力シート!Q131)</f>
        <v/>
      </c>
      <c r="E101" s="304" t="str">
        <f>IF(基本情報入力シート!V131="","",基本情報入力シート!V131)</f>
        <v/>
      </c>
      <c r="F101" s="304" t="str">
        <f>IF(基本情報入力シート!W131="","",基本情報入力シート!W131)</f>
        <v/>
      </c>
      <c r="G101" s="304" t="str">
        <f>IF(基本情報入力シート!X131="","",基本情報入力シート!X131)</f>
        <v/>
      </c>
      <c r="H101" s="297" t="str">
        <f>IF(基本情報入力シート!Z131="","",基本情報入力シート!Z131)</f>
        <v/>
      </c>
      <c r="I101" s="298" t="str">
        <f>IF(基本情報入力シート!AE131&lt;&gt;"", 基本情報入力シート!AE131, "")</f>
        <v/>
      </c>
      <c r="J101" s="56" t="str">
        <f>IF(基本情報入力シート!AA131="","",基本情報入力シート!AA131)</f>
        <v/>
      </c>
      <c r="K101" s="59" t="str">
        <f>IF(基本情報入力シート!AD131="","",基本情報入力シート!AD131)</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IF(基本情報入力シート!B132="","",基本情報入力シート!B132)</f>
        <v/>
      </c>
      <c r="C102" s="304" t="str">
        <f>IF(基本情報入力シート!L132="","",基本情報入力シート!L132)</f>
        <v/>
      </c>
      <c r="D102" s="304" t="str">
        <f>IF(基本情報入力シート!Q132="","",基本情報入力シート!Q132)</f>
        <v/>
      </c>
      <c r="E102" s="304" t="str">
        <f>IF(基本情報入力シート!V132="","",基本情報入力シート!V132)</f>
        <v/>
      </c>
      <c r="F102" s="304" t="str">
        <f>IF(基本情報入力シート!W132="","",基本情報入力シート!W132)</f>
        <v/>
      </c>
      <c r="G102" s="304" t="str">
        <f>IF(基本情報入力シート!X132="","",基本情報入力シート!X132)</f>
        <v/>
      </c>
      <c r="H102" s="297" t="str">
        <f>IF(基本情報入力シート!Z132="","",基本情報入力シート!Z132)</f>
        <v/>
      </c>
      <c r="I102" s="298" t="str">
        <f>IF(基本情報入力シート!AE132&lt;&gt;"", 基本情報入力シート!AE132, "")</f>
        <v/>
      </c>
      <c r="J102" s="56" t="str">
        <f>IF(基本情報入力シート!AA132="","",基本情報入力シート!AA132)</f>
        <v/>
      </c>
      <c r="K102" s="59" t="str">
        <f>IF(基本情報入力シート!AD132="","",基本情報入力シート!AD132)</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IF(基本情報入力シート!B133="","",基本情報入力シート!B133)</f>
        <v/>
      </c>
      <c r="C103" s="304" t="str">
        <f>IF(基本情報入力シート!L133="","",基本情報入力シート!L133)</f>
        <v/>
      </c>
      <c r="D103" s="304" t="str">
        <f>IF(基本情報入力シート!Q133="","",基本情報入力シート!Q133)</f>
        <v/>
      </c>
      <c r="E103" s="304" t="str">
        <f>IF(基本情報入力シート!V133="","",基本情報入力シート!V133)</f>
        <v/>
      </c>
      <c r="F103" s="304" t="str">
        <f>IF(基本情報入力シート!W133="","",基本情報入力シート!W133)</f>
        <v/>
      </c>
      <c r="G103" s="304" t="str">
        <f>IF(基本情報入力シート!X133="","",基本情報入力シート!X133)</f>
        <v/>
      </c>
      <c r="H103" s="297" t="str">
        <f>IF(基本情報入力シート!Z133="","",基本情報入力シート!Z133)</f>
        <v/>
      </c>
      <c r="I103" s="298" t="str">
        <f>IF(基本情報入力シート!AE133&lt;&gt;"", 基本情報入力シート!AE133, "")</f>
        <v/>
      </c>
      <c r="J103" s="56" t="str">
        <f>IF(基本情報入力シート!AA133="","",基本情報入力シート!AA133)</f>
        <v/>
      </c>
      <c r="K103" s="59" t="str">
        <f>IF(基本情報入力シート!AD133="","",基本情報入力シート!AD133)</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IF(基本情報入力シート!B134="","",基本情報入力シート!B134)</f>
        <v/>
      </c>
      <c r="C104" s="304" t="str">
        <f>IF(基本情報入力シート!L134="","",基本情報入力シート!L134)</f>
        <v/>
      </c>
      <c r="D104" s="304" t="str">
        <f>IF(基本情報入力シート!Q134="","",基本情報入力シート!Q134)</f>
        <v/>
      </c>
      <c r="E104" s="304" t="str">
        <f>IF(基本情報入力シート!V134="","",基本情報入力シート!V134)</f>
        <v/>
      </c>
      <c r="F104" s="304" t="str">
        <f>IF(基本情報入力シート!W134="","",基本情報入力シート!W134)</f>
        <v/>
      </c>
      <c r="G104" s="304" t="str">
        <f>IF(基本情報入力シート!X134="","",基本情報入力シート!X134)</f>
        <v/>
      </c>
      <c r="H104" s="297" t="str">
        <f>IF(基本情報入力シート!Z134="","",基本情報入力シート!Z134)</f>
        <v/>
      </c>
      <c r="I104" s="298" t="str">
        <f>IF(基本情報入力シート!AE134&lt;&gt;"", 基本情報入力シート!AE134, "")</f>
        <v/>
      </c>
      <c r="J104" s="56" t="str">
        <f>IF(基本情報入力シート!AA134="","",基本情報入力シート!AA134)</f>
        <v/>
      </c>
      <c r="K104" s="59" t="str">
        <f>IF(基本情報入力シート!AD134="","",基本情報入力シート!AD134)</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IF(基本情報入力シート!B135="","",基本情報入力シート!B135)</f>
        <v/>
      </c>
      <c r="C105" s="304" t="str">
        <f>IF(基本情報入力シート!L135="","",基本情報入力シート!L135)</f>
        <v/>
      </c>
      <c r="D105" s="304" t="str">
        <f>IF(基本情報入力シート!Q135="","",基本情報入力シート!Q135)</f>
        <v/>
      </c>
      <c r="E105" s="304" t="str">
        <f>IF(基本情報入力シート!V135="","",基本情報入力シート!V135)</f>
        <v/>
      </c>
      <c r="F105" s="304" t="str">
        <f>IF(基本情報入力シート!W135="","",基本情報入力シート!W135)</f>
        <v/>
      </c>
      <c r="G105" s="304" t="str">
        <f>IF(基本情報入力シート!X135="","",基本情報入力シート!X135)</f>
        <v/>
      </c>
      <c r="H105" s="297" t="str">
        <f>IF(基本情報入力シート!Z135="","",基本情報入力シート!Z135)</f>
        <v/>
      </c>
      <c r="I105" s="298" t="str">
        <f>IF(基本情報入力シート!AE135&lt;&gt;"", 基本情報入力シート!AE135, "")</f>
        <v/>
      </c>
      <c r="J105" s="56" t="str">
        <f>IF(基本情報入力シート!AA135="","",基本情報入力シート!AA135)</f>
        <v/>
      </c>
      <c r="K105" s="59" t="str">
        <f>IF(基本情報入力シート!AD135="","",基本情報入力シート!AD135)</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IF(基本情報入力シート!B136="","",基本情報入力シート!B136)</f>
        <v/>
      </c>
      <c r="C106" s="304" t="str">
        <f>IF(基本情報入力シート!L136="","",基本情報入力シート!L136)</f>
        <v/>
      </c>
      <c r="D106" s="304" t="str">
        <f>IF(基本情報入力シート!Q136="","",基本情報入力シート!Q136)</f>
        <v/>
      </c>
      <c r="E106" s="304" t="str">
        <f>IF(基本情報入力シート!V136="","",基本情報入力シート!V136)</f>
        <v/>
      </c>
      <c r="F106" s="304" t="str">
        <f>IF(基本情報入力シート!W136="","",基本情報入力シート!W136)</f>
        <v/>
      </c>
      <c r="G106" s="304" t="str">
        <f>IF(基本情報入力シート!X136="","",基本情報入力シート!X136)</f>
        <v/>
      </c>
      <c r="H106" s="297" t="str">
        <f>IF(基本情報入力シート!Z136="","",基本情報入力シート!Z136)</f>
        <v/>
      </c>
      <c r="I106" s="298" t="str">
        <f>IF(基本情報入力シート!AE136&lt;&gt;"", 基本情報入力シート!AE136, "")</f>
        <v/>
      </c>
      <c r="J106" s="56" t="str">
        <f>IF(基本情報入力シート!AA136="","",基本情報入力シート!AA136)</f>
        <v/>
      </c>
      <c r="K106" s="59" t="str">
        <f>IF(基本情報入力シート!AD136="","",基本情報入力シート!AD136)</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IF(基本情報入力シート!B137="","",基本情報入力シート!B137)</f>
        <v/>
      </c>
      <c r="C107" s="304" t="str">
        <f>IF(基本情報入力シート!L137="","",基本情報入力シート!L137)</f>
        <v/>
      </c>
      <c r="D107" s="304" t="str">
        <f>IF(基本情報入力シート!Q137="","",基本情報入力シート!Q137)</f>
        <v/>
      </c>
      <c r="E107" s="304" t="str">
        <f>IF(基本情報入力シート!V137="","",基本情報入力シート!V137)</f>
        <v/>
      </c>
      <c r="F107" s="304" t="str">
        <f>IF(基本情報入力シート!W137="","",基本情報入力シート!W137)</f>
        <v/>
      </c>
      <c r="G107" s="304" t="str">
        <f>IF(基本情報入力シート!X137="","",基本情報入力シート!X137)</f>
        <v/>
      </c>
      <c r="H107" s="297" t="str">
        <f>IF(基本情報入力シート!Z137="","",基本情報入力シート!Z137)</f>
        <v/>
      </c>
      <c r="I107" s="298" t="str">
        <f>IF(基本情報入力シート!AE137&lt;&gt;"", 基本情報入力シート!AE137, "")</f>
        <v/>
      </c>
      <c r="J107" s="56" t="str">
        <f>IF(基本情報入力シート!AA137="","",基本情報入力シート!AA137)</f>
        <v/>
      </c>
      <c r="K107" s="59" t="str">
        <f>IF(基本情報入力シート!AD137="","",基本情報入力シート!AD137)</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IF(基本情報入力シート!B138="","",基本情報入力シート!B138)</f>
        <v/>
      </c>
      <c r="C108" s="304" t="str">
        <f>IF(基本情報入力シート!L138="","",基本情報入力シート!L138)</f>
        <v/>
      </c>
      <c r="D108" s="304" t="str">
        <f>IF(基本情報入力シート!Q138="","",基本情報入力シート!Q138)</f>
        <v/>
      </c>
      <c r="E108" s="304" t="str">
        <f>IF(基本情報入力シート!V138="","",基本情報入力シート!V138)</f>
        <v/>
      </c>
      <c r="F108" s="304" t="str">
        <f>IF(基本情報入力シート!W138="","",基本情報入力シート!W138)</f>
        <v/>
      </c>
      <c r="G108" s="304" t="str">
        <f>IF(基本情報入力シート!X138="","",基本情報入力シート!X138)</f>
        <v/>
      </c>
      <c r="H108" s="297" t="str">
        <f>IF(基本情報入力シート!Z138="","",基本情報入力シート!Z138)</f>
        <v/>
      </c>
      <c r="I108" s="298" t="str">
        <f>IF(基本情報入力シート!AE138&lt;&gt;"", 基本情報入力シート!AE138, "")</f>
        <v/>
      </c>
      <c r="J108" s="56" t="str">
        <f>IF(基本情報入力シート!AA138="","",基本情報入力シート!AA138)</f>
        <v/>
      </c>
      <c r="K108" s="59" t="str">
        <f>IF(基本情報入力シート!AD138="","",基本情報入力シート!AD138)</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IF(基本情報入力シート!B139="","",基本情報入力シート!B139)</f>
        <v/>
      </c>
      <c r="C109" s="304" t="str">
        <f>IF(基本情報入力シート!L139="","",基本情報入力シート!L139)</f>
        <v/>
      </c>
      <c r="D109" s="304" t="str">
        <f>IF(基本情報入力シート!Q139="","",基本情報入力シート!Q139)</f>
        <v/>
      </c>
      <c r="E109" s="304" t="str">
        <f>IF(基本情報入力シート!V139="","",基本情報入力シート!V139)</f>
        <v/>
      </c>
      <c r="F109" s="304" t="str">
        <f>IF(基本情報入力シート!W139="","",基本情報入力シート!W139)</f>
        <v/>
      </c>
      <c r="G109" s="304" t="str">
        <f>IF(基本情報入力シート!X139="","",基本情報入力シート!X139)</f>
        <v/>
      </c>
      <c r="H109" s="297" t="str">
        <f>IF(基本情報入力シート!Z139="","",基本情報入力シート!Z139)</f>
        <v/>
      </c>
      <c r="I109" s="298" t="str">
        <f>IF(基本情報入力シート!AE139&lt;&gt;"", 基本情報入力シート!AE139, "")</f>
        <v/>
      </c>
      <c r="J109" s="56" t="str">
        <f>IF(基本情報入力シート!AA139="","",基本情報入力シート!AA139)</f>
        <v/>
      </c>
      <c r="K109" s="59" t="str">
        <f>IF(基本情報入力シート!AD139="","",基本情報入力シート!AD139)</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IF(基本情報入力シート!B140="","",基本情報入力シート!B140)</f>
        <v/>
      </c>
      <c r="C110" s="308" t="str">
        <f>IF(基本情報入力シート!L140="","",基本情報入力シート!L140)</f>
        <v/>
      </c>
      <c r="D110" s="308" t="str">
        <f>IF(基本情報入力シート!Q140="","",基本情報入力シート!Q140)</f>
        <v/>
      </c>
      <c r="E110" s="308" t="str">
        <f>IF(基本情報入力シート!V140="","",基本情報入力シート!V140)</f>
        <v/>
      </c>
      <c r="F110" s="308" t="str">
        <f>IF(基本情報入力シート!W140="","",基本情報入力シート!W140)</f>
        <v/>
      </c>
      <c r="G110" s="308" t="str">
        <f>IF(基本情報入力シート!X140="","",基本情報入力シート!X140)</f>
        <v/>
      </c>
      <c r="H110" s="309" t="str">
        <f>IF(基本情報入力シート!Z140="","",基本情報入力シート!Z140)</f>
        <v/>
      </c>
      <c r="I110" s="310" t="str">
        <f>IF(基本情報入力シート!AE140&lt;&gt;"", 基本情報入力シート!AE140, "")</f>
        <v/>
      </c>
      <c r="J110" s="93" t="str">
        <f>IF(基本情報入力シート!AA140="","",基本情報入力シート!AA140)</f>
        <v/>
      </c>
      <c r="K110" s="60" t="str">
        <f>IF(基本情報入力シート!AD140="","",基本情報入力シート!AD140)</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90625" defaultRowHeight="13"/>
  <cols>
    <col min="1" max="1" width="7.54296875" style="557" customWidth="1"/>
    <col min="2" max="2" width="19.90625" style="557" customWidth="1"/>
    <col min="3" max="3" width="31.08984375" style="557" customWidth="1"/>
    <col min="4" max="4" width="47.54296875" style="557" customWidth="1"/>
    <col min="5" max="5" width="42.54296875" style="557" customWidth="1"/>
    <col min="6" max="6" width="42.90625" style="557" customWidth="1"/>
    <col min="7" max="7" width="16.54296875" style="557" customWidth="1"/>
    <col min="8" max="8" width="44.6328125" style="557" customWidth="1"/>
    <col min="9" max="9" width="40.54296875" style="557" customWidth="1"/>
    <col min="10" max="229" width="9.90625" style="540"/>
    <col min="230" max="230" width="8.453125" style="540" customWidth="1"/>
    <col min="231" max="231" width="14" style="540" customWidth="1"/>
    <col min="232" max="232" width="17.90625" style="540" customWidth="1"/>
    <col min="233" max="233" width="45" style="540" bestFit="1" customWidth="1"/>
    <col min="234" max="234" width="61.6328125" style="540" customWidth="1"/>
    <col min="235" max="235" width="20.54296875" style="540" customWidth="1"/>
    <col min="236" max="236" width="22.90625" style="540" customWidth="1"/>
    <col min="237" max="237" width="25.08984375" style="540" customWidth="1"/>
    <col min="238" max="485" width="9.90625" style="540"/>
    <col min="486" max="486" width="8.453125" style="540" customWidth="1"/>
    <col min="487" max="487" width="14" style="540" customWidth="1"/>
    <col min="488" max="488" width="17.90625" style="540" customWidth="1"/>
    <col min="489" max="489" width="45" style="540" bestFit="1" customWidth="1"/>
    <col min="490" max="490" width="61.6328125" style="540" customWidth="1"/>
    <col min="491" max="491" width="20.54296875" style="540" customWidth="1"/>
    <col min="492" max="492" width="22.90625" style="540" customWidth="1"/>
    <col min="493" max="493" width="25.08984375" style="540" customWidth="1"/>
    <col min="494" max="741" width="9.90625" style="540"/>
    <col min="742" max="742" width="8.453125" style="540" customWidth="1"/>
    <col min="743" max="743" width="14" style="540" customWidth="1"/>
    <col min="744" max="744" width="17.90625" style="540" customWidth="1"/>
    <col min="745" max="745" width="45" style="540" bestFit="1" customWidth="1"/>
    <col min="746" max="746" width="61.6328125" style="540" customWidth="1"/>
    <col min="747" max="747" width="20.54296875" style="540" customWidth="1"/>
    <col min="748" max="748" width="22.90625" style="540" customWidth="1"/>
    <col min="749" max="749" width="25.08984375" style="540" customWidth="1"/>
    <col min="750" max="997" width="9.90625" style="540"/>
    <col min="998" max="998" width="8.453125" style="540" customWidth="1"/>
    <col min="999" max="999" width="14" style="540" customWidth="1"/>
    <col min="1000" max="1000" width="17.90625" style="540" customWidth="1"/>
    <col min="1001" max="1001" width="45" style="540" bestFit="1" customWidth="1"/>
    <col min="1002" max="1002" width="61.6328125" style="540" customWidth="1"/>
    <col min="1003" max="1003" width="20.54296875" style="540" customWidth="1"/>
    <col min="1004" max="1004" width="22.90625" style="540" customWidth="1"/>
    <col min="1005" max="1005" width="25.08984375" style="540" customWidth="1"/>
    <col min="1006" max="1253" width="9.90625" style="540"/>
    <col min="1254" max="1254" width="8.453125" style="540" customWidth="1"/>
    <col min="1255" max="1255" width="14" style="540" customWidth="1"/>
    <col min="1256" max="1256" width="17.90625" style="540" customWidth="1"/>
    <col min="1257" max="1257" width="45" style="540" bestFit="1" customWidth="1"/>
    <col min="1258" max="1258" width="61.6328125" style="540" customWidth="1"/>
    <col min="1259" max="1259" width="20.54296875" style="540" customWidth="1"/>
    <col min="1260" max="1260" width="22.90625" style="540" customWidth="1"/>
    <col min="1261" max="1261" width="25.08984375" style="540" customWidth="1"/>
    <col min="1262" max="1509" width="9.90625" style="540"/>
    <col min="1510" max="1510" width="8.453125" style="540" customWidth="1"/>
    <col min="1511" max="1511" width="14" style="540" customWidth="1"/>
    <col min="1512" max="1512" width="17.90625" style="540" customWidth="1"/>
    <col min="1513" max="1513" width="45" style="540" bestFit="1" customWidth="1"/>
    <col min="1514" max="1514" width="61.6328125" style="540" customWidth="1"/>
    <col min="1515" max="1515" width="20.54296875" style="540" customWidth="1"/>
    <col min="1516" max="1516" width="22.90625" style="540" customWidth="1"/>
    <col min="1517" max="1517" width="25.08984375" style="540" customWidth="1"/>
    <col min="1518" max="1765" width="9.90625" style="540"/>
    <col min="1766" max="1766" width="8.453125" style="540" customWidth="1"/>
    <col min="1767" max="1767" width="14" style="540" customWidth="1"/>
    <col min="1768" max="1768" width="17.90625" style="540" customWidth="1"/>
    <col min="1769" max="1769" width="45" style="540" bestFit="1" customWidth="1"/>
    <col min="1770" max="1770" width="61.6328125" style="540" customWidth="1"/>
    <col min="1771" max="1771" width="20.54296875" style="540" customWidth="1"/>
    <col min="1772" max="1772" width="22.90625" style="540" customWidth="1"/>
    <col min="1773" max="1773" width="25.08984375" style="540" customWidth="1"/>
    <col min="1774" max="2021" width="9.90625" style="540"/>
    <col min="2022" max="2022" width="8.453125" style="540" customWidth="1"/>
    <col min="2023" max="2023" width="14" style="540" customWidth="1"/>
    <col min="2024" max="2024" width="17.90625" style="540" customWidth="1"/>
    <col min="2025" max="2025" width="45" style="540" bestFit="1" customWidth="1"/>
    <col min="2026" max="2026" width="61.6328125" style="540" customWidth="1"/>
    <col min="2027" max="2027" width="20.54296875" style="540" customWidth="1"/>
    <col min="2028" max="2028" width="22.90625" style="540" customWidth="1"/>
    <col min="2029" max="2029" width="25.08984375" style="540" customWidth="1"/>
    <col min="2030" max="2277" width="9.90625" style="540"/>
    <col min="2278" max="2278" width="8.453125" style="540" customWidth="1"/>
    <col min="2279" max="2279" width="14" style="540" customWidth="1"/>
    <col min="2280" max="2280" width="17.90625" style="540" customWidth="1"/>
    <col min="2281" max="2281" width="45" style="540" bestFit="1" customWidth="1"/>
    <col min="2282" max="2282" width="61.6328125" style="540" customWidth="1"/>
    <col min="2283" max="2283" width="20.54296875" style="540" customWidth="1"/>
    <col min="2284" max="2284" width="22.90625" style="540" customWidth="1"/>
    <col min="2285" max="2285" width="25.08984375" style="540" customWidth="1"/>
    <col min="2286" max="2533" width="9.90625" style="540"/>
    <col min="2534" max="2534" width="8.453125" style="540" customWidth="1"/>
    <col min="2535" max="2535" width="14" style="540" customWidth="1"/>
    <col min="2536" max="2536" width="17.90625" style="540" customWidth="1"/>
    <col min="2537" max="2537" width="45" style="540" bestFit="1" customWidth="1"/>
    <col min="2538" max="2538" width="61.6328125" style="540" customWidth="1"/>
    <col min="2539" max="2539" width="20.54296875" style="540" customWidth="1"/>
    <col min="2540" max="2540" width="22.90625" style="540" customWidth="1"/>
    <col min="2541" max="2541" width="25.08984375" style="540" customWidth="1"/>
    <col min="2542" max="2789" width="9.90625" style="540"/>
    <col min="2790" max="2790" width="8.453125" style="540" customWidth="1"/>
    <col min="2791" max="2791" width="14" style="540" customWidth="1"/>
    <col min="2792" max="2792" width="17.90625" style="540" customWidth="1"/>
    <col min="2793" max="2793" width="45" style="540" bestFit="1" customWidth="1"/>
    <col min="2794" max="2794" width="61.6328125" style="540" customWidth="1"/>
    <col min="2795" max="2795" width="20.54296875" style="540" customWidth="1"/>
    <col min="2796" max="2796" width="22.90625" style="540" customWidth="1"/>
    <col min="2797" max="2797" width="25.08984375" style="540" customWidth="1"/>
    <col min="2798" max="3045" width="9.90625" style="540"/>
    <col min="3046" max="3046" width="8.453125" style="540" customWidth="1"/>
    <col min="3047" max="3047" width="14" style="540" customWidth="1"/>
    <col min="3048" max="3048" width="17.90625" style="540" customWidth="1"/>
    <col min="3049" max="3049" width="45" style="540" bestFit="1" customWidth="1"/>
    <col min="3050" max="3050" width="61.6328125" style="540" customWidth="1"/>
    <col min="3051" max="3051" width="20.54296875" style="540" customWidth="1"/>
    <col min="3052" max="3052" width="22.90625" style="540" customWidth="1"/>
    <col min="3053" max="3053" width="25.08984375" style="540" customWidth="1"/>
    <col min="3054" max="3301" width="9.90625" style="540"/>
    <col min="3302" max="3302" width="8.453125" style="540" customWidth="1"/>
    <col min="3303" max="3303" width="14" style="540" customWidth="1"/>
    <col min="3304" max="3304" width="17.90625" style="540" customWidth="1"/>
    <col min="3305" max="3305" width="45" style="540" bestFit="1" customWidth="1"/>
    <col min="3306" max="3306" width="61.6328125" style="540" customWidth="1"/>
    <col min="3307" max="3307" width="20.54296875" style="540" customWidth="1"/>
    <col min="3308" max="3308" width="22.90625" style="540" customWidth="1"/>
    <col min="3309" max="3309" width="25.08984375" style="540" customWidth="1"/>
    <col min="3310" max="3557" width="9.90625" style="540"/>
    <col min="3558" max="3558" width="8.453125" style="540" customWidth="1"/>
    <col min="3559" max="3559" width="14" style="540" customWidth="1"/>
    <col min="3560" max="3560" width="17.90625" style="540" customWidth="1"/>
    <col min="3561" max="3561" width="45" style="540" bestFit="1" customWidth="1"/>
    <col min="3562" max="3562" width="61.6328125" style="540" customWidth="1"/>
    <col min="3563" max="3563" width="20.54296875" style="540" customWidth="1"/>
    <col min="3564" max="3564" width="22.90625" style="540" customWidth="1"/>
    <col min="3565" max="3565" width="25.08984375" style="540" customWidth="1"/>
    <col min="3566" max="3813" width="9.90625" style="540"/>
    <col min="3814" max="3814" width="8.453125" style="540" customWidth="1"/>
    <col min="3815" max="3815" width="14" style="540" customWidth="1"/>
    <col min="3816" max="3816" width="17.90625" style="540" customWidth="1"/>
    <col min="3817" max="3817" width="45" style="540" bestFit="1" customWidth="1"/>
    <col min="3818" max="3818" width="61.6328125" style="540" customWidth="1"/>
    <col min="3819" max="3819" width="20.54296875" style="540" customWidth="1"/>
    <col min="3820" max="3820" width="22.90625" style="540" customWidth="1"/>
    <col min="3821" max="3821" width="25.08984375" style="540" customWidth="1"/>
    <col min="3822" max="4069" width="9.90625" style="540"/>
    <col min="4070" max="4070" width="8.453125" style="540" customWidth="1"/>
    <col min="4071" max="4071" width="14" style="540" customWidth="1"/>
    <col min="4072" max="4072" width="17.90625" style="540" customWidth="1"/>
    <col min="4073" max="4073" width="45" style="540" bestFit="1" customWidth="1"/>
    <col min="4074" max="4074" width="61.6328125" style="540" customWidth="1"/>
    <col min="4075" max="4075" width="20.54296875" style="540" customWidth="1"/>
    <col min="4076" max="4076" width="22.90625" style="540" customWidth="1"/>
    <col min="4077" max="4077" width="25.08984375" style="540" customWidth="1"/>
    <col min="4078" max="4325" width="9.90625" style="540"/>
    <col min="4326" max="4326" width="8.453125" style="540" customWidth="1"/>
    <col min="4327" max="4327" width="14" style="540" customWidth="1"/>
    <col min="4328" max="4328" width="17.90625" style="540" customWidth="1"/>
    <col min="4329" max="4329" width="45" style="540" bestFit="1" customWidth="1"/>
    <col min="4330" max="4330" width="61.6328125" style="540" customWidth="1"/>
    <col min="4331" max="4331" width="20.54296875" style="540" customWidth="1"/>
    <col min="4332" max="4332" width="22.90625" style="540" customWidth="1"/>
    <col min="4333" max="4333" width="25.08984375" style="540" customWidth="1"/>
    <col min="4334" max="4581" width="9.90625" style="540"/>
    <col min="4582" max="4582" width="8.453125" style="540" customWidth="1"/>
    <col min="4583" max="4583" width="14" style="540" customWidth="1"/>
    <col min="4584" max="4584" width="17.90625" style="540" customWidth="1"/>
    <col min="4585" max="4585" width="45" style="540" bestFit="1" customWidth="1"/>
    <col min="4586" max="4586" width="61.6328125" style="540" customWidth="1"/>
    <col min="4587" max="4587" width="20.54296875" style="540" customWidth="1"/>
    <col min="4588" max="4588" width="22.90625" style="540" customWidth="1"/>
    <col min="4589" max="4589" width="25.08984375" style="540" customWidth="1"/>
    <col min="4590" max="4837" width="9.90625" style="540"/>
    <col min="4838" max="4838" width="8.453125" style="540" customWidth="1"/>
    <col min="4839" max="4839" width="14" style="540" customWidth="1"/>
    <col min="4840" max="4840" width="17.90625" style="540" customWidth="1"/>
    <col min="4841" max="4841" width="45" style="540" bestFit="1" customWidth="1"/>
    <col min="4842" max="4842" width="61.6328125" style="540" customWidth="1"/>
    <col min="4843" max="4843" width="20.54296875" style="540" customWidth="1"/>
    <col min="4844" max="4844" width="22.90625" style="540" customWidth="1"/>
    <col min="4845" max="4845" width="25.08984375" style="540" customWidth="1"/>
    <col min="4846" max="5093" width="9.90625" style="540"/>
    <col min="5094" max="5094" width="8.453125" style="540" customWidth="1"/>
    <col min="5095" max="5095" width="14" style="540" customWidth="1"/>
    <col min="5096" max="5096" width="17.90625" style="540" customWidth="1"/>
    <col min="5097" max="5097" width="45" style="540" bestFit="1" customWidth="1"/>
    <col min="5098" max="5098" width="61.6328125" style="540" customWidth="1"/>
    <col min="5099" max="5099" width="20.54296875" style="540" customWidth="1"/>
    <col min="5100" max="5100" width="22.90625" style="540" customWidth="1"/>
    <col min="5101" max="5101" width="25.08984375" style="540" customWidth="1"/>
    <col min="5102" max="5349" width="9.90625" style="540"/>
    <col min="5350" max="5350" width="8.453125" style="540" customWidth="1"/>
    <col min="5351" max="5351" width="14" style="540" customWidth="1"/>
    <col min="5352" max="5352" width="17.90625" style="540" customWidth="1"/>
    <col min="5353" max="5353" width="45" style="540" bestFit="1" customWidth="1"/>
    <col min="5354" max="5354" width="61.6328125" style="540" customWidth="1"/>
    <col min="5355" max="5355" width="20.54296875" style="540" customWidth="1"/>
    <col min="5356" max="5356" width="22.90625" style="540" customWidth="1"/>
    <col min="5357" max="5357" width="25.08984375" style="540" customWidth="1"/>
    <col min="5358" max="5605" width="9.90625" style="540"/>
    <col min="5606" max="5606" width="8.453125" style="540" customWidth="1"/>
    <col min="5607" max="5607" width="14" style="540" customWidth="1"/>
    <col min="5608" max="5608" width="17.90625" style="540" customWidth="1"/>
    <col min="5609" max="5609" width="45" style="540" bestFit="1" customWidth="1"/>
    <col min="5610" max="5610" width="61.6328125" style="540" customWidth="1"/>
    <col min="5611" max="5611" width="20.54296875" style="540" customWidth="1"/>
    <col min="5612" max="5612" width="22.90625" style="540" customWidth="1"/>
    <col min="5613" max="5613" width="25.08984375" style="540" customWidth="1"/>
    <col min="5614" max="5861" width="9.90625" style="540"/>
    <col min="5862" max="5862" width="8.453125" style="540" customWidth="1"/>
    <col min="5863" max="5863" width="14" style="540" customWidth="1"/>
    <col min="5864" max="5864" width="17.90625" style="540" customWidth="1"/>
    <col min="5865" max="5865" width="45" style="540" bestFit="1" customWidth="1"/>
    <col min="5866" max="5866" width="61.6328125" style="540" customWidth="1"/>
    <col min="5867" max="5867" width="20.54296875" style="540" customWidth="1"/>
    <col min="5868" max="5868" width="22.90625" style="540" customWidth="1"/>
    <col min="5869" max="5869" width="25.08984375" style="540" customWidth="1"/>
    <col min="5870" max="6117" width="9.90625" style="540"/>
    <col min="6118" max="6118" width="8.453125" style="540" customWidth="1"/>
    <col min="6119" max="6119" width="14" style="540" customWidth="1"/>
    <col min="6120" max="6120" width="17.90625" style="540" customWidth="1"/>
    <col min="6121" max="6121" width="45" style="540" bestFit="1" customWidth="1"/>
    <col min="6122" max="6122" width="61.6328125" style="540" customWidth="1"/>
    <col min="6123" max="6123" width="20.54296875" style="540" customWidth="1"/>
    <col min="6124" max="6124" width="22.90625" style="540" customWidth="1"/>
    <col min="6125" max="6125" width="25.08984375" style="540" customWidth="1"/>
    <col min="6126" max="6373" width="9.90625" style="540"/>
    <col min="6374" max="6374" width="8.453125" style="540" customWidth="1"/>
    <col min="6375" max="6375" width="14" style="540" customWidth="1"/>
    <col min="6376" max="6376" width="17.90625" style="540" customWidth="1"/>
    <col min="6377" max="6377" width="45" style="540" bestFit="1" customWidth="1"/>
    <col min="6378" max="6378" width="61.6328125" style="540" customWidth="1"/>
    <col min="6379" max="6379" width="20.54296875" style="540" customWidth="1"/>
    <col min="6380" max="6380" width="22.90625" style="540" customWidth="1"/>
    <col min="6381" max="6381" width="25.08984375" style="540" customWidth="1"/>
    <col min="6382" max="6629" width="9.90625" style="540"/>
    <col min="6630" max="6630" width="8.453125" style="540" customWidth="1"/>
    <col min="6631" max="6631" width="14" style="540" customWidth="1"/>
    <col min="6632" max="6632" width="17.90625" style="540" customWidth="1"/>
    <col min="6633" max="6633" width="45" style="540" bestFit="1" customWidth="1"/>
    <col min="6634" max="6634" width="61.6328125" style="540" customWidth="1"/>
    <col min="6635" max="6635" width="20.54296875" style="540" customWidth="1"/>
    <col min="6636" max="6636" width="22.90625" style="540" customWidth="1"/>
    <col min="6637" max="6637" width="25.08984375" style="540" customWidth="1"/>
    <col min="6638" max="6885" width="9.90625" style="540"/>
    <col min="6886" max="6886" width="8.453125" style="540" customWidth="1"/>
    <col min="6887" max="6887" width="14" style="540" customWidth="1"/>
    <col min="6888" max="6888" width="17.90625" style="540" customWidth="1"/>
    <col min="6889" max="6889" width="45" style="540" bestFit="1" customWidth="1"/>
    <col min="6890" max="6890" width="61.6328125" style="540" customWidth="1"/>
    <col min="6891" max="6891" width="20.54296875" style="540" customWidth="1"/>
    <col min="6892" max="6892" width="22.90625" style="540" customWidth="1"/>
    <col min="6893" max="6893" width="25.08984375" style="540" customWidth="1"/>
    <col min="6894" max="7141" width="9.90625" style="540"/>
    <col min="7142" max="7142" width="8.453125" style="540" customWidth="1"/>
    <col min="7143" max="7143" width="14" style="540" customWidth="1"/>
    <col min="7144" max="7144" width="17.90625" style="540" customWidth="1"/>
    <col min="7145" max="7145" width="45" style="540" bestFit="1" customWidth="1"/>
    <col min="7146" max="7146" width="61.6328125" style="540" customWidth="1"/>
    <col min="7147" max="7147" width="20.54296875" style="540" customWidth="1"/>
    <col min="7148" max="7148" width="22.90625" style="540" customWidth="1"/>
    <col min="7149" max="7149" width="25.08984375" style="540" customWidth="1"/>
    <col min="7150" max="7397" width="9.90625" style="540"/>
    <col min="7398" max="7398" width="8.453125" style="540" customWidth="1"/>
    <col min="7399" max="7399" width="14" style="540" customWidth="1"/>
    <col min="7400" max="7400" width="17.90625" style="540" customWidth="1"/>
    <col min="7401" max="7401" width="45" style="540" bestFit="1" customWidth="1"/>
    <col min="7402" max="7402" width="61.6328125" style="540" customWidth="1"/>
    <col min="7403" max="7403" width="20.54296875" style="540" customWidth="1"/>
    <col min="7404" max="7404" width="22.90625" style="540" customWidth="1"/>
    <col min="7405" max="7405" width="25.08984375" style="540" customWidth="1"/>
    <col min="7406" max="7653" width="9.90625" style="540"/>
    <col min="7654" max="7654" width="8.453125" style="540" customWidth="1"/>
    <col min="7655" max="7655" width="14" style="540" customWidth="1"/>
    <col min="7656" max="7656" width="17.90625" style="540" customWidth="1"/>
    <col min="7657" max="7657" width="45" style="540" bestFit="1" customWidth="1"/>
    <col min="7658" max="7658" width="61.6328125" style="540" customWidth="1"/>
    <col min="7659" max="7659" width="20.54296875" style="540" customWidth="1"/>
    <col min="7660" max="7660" width="22.90625" style="540" customWidth="1"/>
    <col min="7661" max="7661" width="25.08984375" style="540" customWidth="1"/>
    <col min="7662" max="7909" width="9.90625" style="540"/>
    <col min="7910" max="7910" width="8.453125" style="540" customWidth="1"/>
    <col min="7911" max="7911" width="14" style="540" customWidth="1"/>
    <col min="7912" max="7912" width="17.90625" style="540" customWidth="1"/>
    <col min="7913" max="7913" width="45" style="540" bestFit="1" customWidth="1"/>
    <col min="7914" max="7914" width="61.6328125" style="540" customWidth="1"/>
    <col min="7915" max="7915" width="20.54296875" style="540" customWidth="1"/>
    <col min="7916" max="7916" width="22.90625" style="540" customWidth="1"/>
    <col min="7917" max="7917" width="25.08984375" style="540" customWidth="1"/>
    <col min="7918" max="8165" width="9.90625" style="540"/>
    <col min="8166" max="8166" width="8.453125" style="540" customWidth="1"/>
    <col min="8167" max="8167" width="14" style="540" customWidth="1"/>
    <col min="8168" max="8168" width="17.90625" style="540" customWidth="1"/>
    <col min="8169" max="8169" width="45" style="540" bestFit="1" customWidth="1"/>
    <col min="8170" max="8170" width="61.6328125" style="540" customWidth="1"/>
    <col min="8171" max="8171" width="20.54296875" style="540" customWidth="1"/>
    <col min="8172" max="8172" width="22.90625" style="540" customWidth="1"/>
    <col min="8173" max="8173" width="25.08984375" style="540" customWidth="1"/>
    <col min="8174" max="8421" width="9.90625" style="540"/>
    <col min="8422" max="8422" width="8.453125" style="540" customWidth="1"/>
    <col min="8423" max="8423" width="14" style="540" customWidth="1"/>
    <col min="8424" max="8424" width="17.90625" style="540" customWidth="1"/>
    <col min="8425" max="8425" width="45" style="540" bestFit="1" customWidth="1"/>
    <col min="8426" max="8426" width="61.6328125" style="540" customWidth="1"/>
    <col min="8427" max="8427" width="20.54296875" style="540" customWidth="1"/>
    <col min="8428" max="8428" width="22.90625" style="540" customWidth="1"/>
    <col min="8429" max="8429" width="25.08984375" style="540" customWidth="1"/>
    <col min="8430" max="8677" width="9.90625" style="540"/>
    <col min="8678" max="8678" width="8.453125" style="540" customWidth="1"/>
    <col min="8679" max="8679" width="14" style="540" customWidth="1"/>
    <col min="8680" max="8680" width="17.90625" style="540" customWidth="1"/>
    <col min="8681" max="8681" width="45" style="540" bestFit="1" customWidth="1"/>
    <col min="8682" max="8682" width="61.6328125" style="540" customWidth="1"/>
    <col min="8683" max="8683" width="20.54296875" style="540" customWidth="1"/>
    <col min="8684" max="8684" width="22.90625" style="540" customWidth="1"/>
    <col min="8685" max="8685" width="25.08984375" style="540" customWidth="1"/>
    <col min="8686" max="8933" width="9.90625" style="540"/>
    <col min="8934" max="8934" width="8.453125" style="540" customWidth="1"/>
    <col min="8935" max="8935" width="14" style="540" customWidth="1"/>
    <col min="8936" max="8936" width="17.90625" style="540" customWidth="1"/>
    <col min="8937" max="8937" width="45" style="540" bestFit="1" customWidth="1"/>
    <col min="8938" max="8938" width="61.6328125" style="540" customWidth="1"/>
    <col min="8939" max="8939" width="20.54296875" style="540" customWidth="1"/>
    <col min="8940" max="8940" width="22.90625" style="540" customWidth="1"/>
    <col min="8941" max="8941" width="25.08984375" style="540" customWidth="1"/>
    <col min="8942" max="9189" width="9.90625" style="540"/>
    <col min="9190" max="9190" width="8.453125" style="540" customWidth="1"/>
    <col min="9191" max="9191" width="14" style="540" customWidth="1"/>
    <col min="9192" max="9192" width="17.90625" style="540" customWidth="1"/>
    <col min="9193" max="9193" width="45" style="540" bestFit="1" customWidth="1"/>
    <col min="9194" max="9194" width="61.6328125" style="540" customWidth="1"/>
    <col min="9195" max="9195" width="20.54296875" style="540" customWidth="1"/>
    <col min="9196" max="9196" width="22.90625" style="540" customWidth="1"/>
    <col min="9197" max="9197" width="25.08984375" style="540" customWidth="1"/>
    <col min="9198" max="9445" width="9.90625" style="540"/>
    <col min="9446" max="9446" width="8.453125" style="540" customWidth="1"/>
    <col min="9447" max="9447" width="14" style="540" customWidth="1"/>
    <col min="9448" max="9448" width="17.90625" style="540" customWidth="1"/>
    <col min="9449" max="9449" width="45" style="540" bestFit="1" customWidth="1"/>
    <col min="9450" max="9450" width="61.6328125" style="540" customWidth="1"/>
    <col min="9451" max="9451" width="20.54296875" style="540" customWidth="1"/>
    <col min="9452" max="9452" width="22.90625" style="540" customWidth="1"/>
    <col min="9453" max="9453" width="25.08984375" style="540" customWidth="1"/>
    <col min="9454" max="9701" width="9.90625" style="540"/>
    <col min="9702" max="9702" width="8.453125" style="540" customWidth="1"/>
    <col min="9703" max="9703" width="14" style="540" customWidth="1"/>
    <col min="9704" max="9704" width="17.90625" style="540" customWidth="1"/>
    <col min="9705" max="9705" width="45" style="540" bestFit="1" customWidth="1"/>
    <col min="9706" max="9706" width="61.6328125" style="540" customWidth="1"/>
    <col min="9707" max="9707" width="20.54296875" style="540" customWidth="1"/>
    <col min="9708" max="9708" width="22.90625" style="540" customWidth="1"/>
    <col min="9709" max="9709" width="25.08984375" style="540" customWidth="1"/>
    <col min="9710" max="9957" width="9.90625" style="540"/>
    <col min="9958" max="9958" width="8.453125" style="540" customWidth="1"/>
    <col min="9959" max="9959" width="14" style="540" customWidth="1"/>
    <col min="9960" max="9960" width="17.90625" style="540" customWidth="1"/>
    <col min="9961" max="9961" width="45" style="540" bestFit="1" customWidth="1"/>
    <col min="9962" max="9962" width="61.6328125" style="540" customWidth="1"/>
    <col min="9963" max="9963" width="20.54296875" style="540" customWidth="1"/>
    <col min="9964" max="9964" width="22.90625" style="540" customWidth="1"/>
    <col min="9965" max="9965" width="25.08984375" style="540" customWidth="1"/>
    <col min="9966" max="10213" width="9.90625" style="540"/>
    <col min="10214" max="10214" width="8.453125" style="540" customWidth="1"/>
    <col min="10215" max="10215" width="14" style="540" customWidth="1"/>
    <col min="10216" max="10216" width="17.90625" style="540" customWidth="1"/>
    <col min="10217" max="10217" width="45" style="540" bestFit="1" customWidth="1"/>
    <col min="10218" max="10218" width="61.6328125" style="540" customWidth="1"/>
    <col min="10219" max="10219" width="20.54296875" style="540" customWidth="1"/>
    <col min="10220" max="10220" width="22.90625" style="540" customWidth="1"/>
    <col min="10221" max="10221" width="25.08984375" style="540" customWidth="1"/>
    <col min="10222" max="10469" width="9.90625" style="540"/>
    <col min="10470" max="10470" width="8.453125" style="540" customWidth="1"/>
    <col min="10471" max="10471" width="14" style="540" customWidth="1"/>
    <col min="10472" max="10472" width="17.90625" style="540" customWidth="1"/>
    <col min="10473" max="10473" width="45" style="540" bestFit="1" customWidth="1"/>
    <col min="10474" max="10474" width="61.6328125" style="540" customWidth="1"/>
    <col min="10475" max="10475" width="20.54296875" style="540" customWidth="1"/>
    <col min="10476" max="10476" width="22.90625" style="540" customWidth="1"/>
    <col min="10477" max="10477" width="25.08984375" style="540" customWidth="1"/>
    <col min="10478" max="10725" width="9.90625" style="540"/>
    <col min="10726" max="10726" width="8.453125" style="540" customWidth="1"/>
    <col min="10727" max="10727" width="14" style="540" customWidth="1"/>
    <col min="10728" max="10728" width="17.90625" style="540" customWidth="1"/>
    <col min="10729" max="10729" width="45" style="540" bestFit="1" customWidth="1"/>
    <col min="10730" max="10730" width="61.6328125" style="540" customWidth="1"/>
    <col min="10731" max="10731" width="20.54296875" style="540" customWidth="1"/>
    <col min="10732" max="10732" width="22.90625" style="540" customWidth="1"/>
    <col min="10733" max="10733" width="25.08984375" style="540" customWidth="1"/>
    <col min="10734" max="10981" width="9.90625" style="540"/>
    <col min="10982" max="10982" width="8.453125" style="540" customWidth="1"/>
    <col min="10983" max="10983" width="14" style="540" customWidth="1"/>
    <col min="10984" max="10984" width="17.90625" style="540" customWidth="1"/>
    <col min="10985" max="10985" width="45" style="540" bestFit="1" customWidth="1"/>
    <col min="10986" max="10986" width="61.6328125" style="540" customWidth="1"/>
    <col min="10987" max="10987" width="20.54296875" style="540" customWidth="1"/>
    <col min="10988" max="10988" width="22.90625" style="540" customWidth="1"/>
    <col min="10989" max="10989" width="25.08984375" style="540" customWidth="1"/>
    <col min="10990" max="11237" width="9.90625" style="540"/>
    <col min="11238" max="11238" width="8.453125" style="540" customWidth="1"/>
    <col min="11239" max="11239" width="14" style="540" customWidth="1"/>
    <col min="11240" max="11240" width="17.90625" style="540" customWidth="1"/>
    <col min="11241" max="11241" width="45" style="540" bestFit="1" customWidth="1"/>
    <col min="11242" max="11242" width="61.6328125" style="540" customWidth="1"/>
    <col min="11243" max="11243" width="20.54296875" style="540" customWidth="1"/>
    <col min="11244" max="11244" width="22.90625" style="540" customWidth="1"/>
    <col min="11245" max="11245" width="25.08984375" style="540" customWidth="1"/>
    <col min="11246" max="11493" width="9.90625" style="540"/>
    <col min="11494" max="11494" width="8.453125" style="540" customWidth="1"/>
    <col min="11495" max="11495" width="14" style="540" customWidth="1"/>
    <col min="11496" max="11496" width="17.90625" style="540" customWidth="1"/>
    <col min="11497" max="11497" width="45" style="540" bestFit="1" customWidth="1"/>
    <col min="11498" max="11498" width="61.6328125" style="540" customWidth="1"/>
    <col min="11499" max="11499" width="20.54296875" style="540" customWidth="1"/>
    <col min="11500" max="11500" width="22.90625" style="540" customWidth="1"/>
    <col min="11501" max="11501" width="25.08984375" style="540" customWidth="1"/>
    <col min="11502" max="11749" width="9.90625" style="540"/>
    <col min="11750" max="11750" width="8.453125" style="540" customWidth="1"/>
    <col min="11751" max="11751" width="14" style="540" customWidth="1"/>
    <col min="11752" max="11752" width="17.90625" style="540" customWidth="1"/>
    <col min="11753" max="11753" width="45" style="540" bestFit="1" customWidth="1"/>
    <col min="11754" max="11754" width="61.6328125" style="540" customWidth="1"/>
    <col min="11755" max="11755" width="20.54296875" style="540" customWidth="1"/>
    <col min="11756" max="11756" width="22.90625" style="540" customWidth="1"/>
    <col min="11757" max="11757" width="25.08984375" style="540" customWidth="1"/>
    <col min="11758" max="12005" width="9.90625" style="540"/>
    <col min="12006" max="12006" width="8.453125" style="540" customWidth="1"/>
    <col min="12007" max="12007" width="14" style="540" customWidth="1"/>
    <col min="12008" max="12008" width="17.90625" style="540" customWidth="1"/>
    <col min="12009" max="12009" width="45" style="540" bestFit="1" customWidth="1"/>
    <col min="12010" max="12010" width="61.6328125" style="540" customWidth="1"/>
    <col min="12011" max="12011" width="20.54296875" style="540" customWidth="1"/>
    <col min="12012" max="12012" width="22.90625" style="540" customWidth="1"/>
    <col min="12013" max="12013" width="25.08984375" style="540" customWidth="1"/>
    <col min="12014" max="12261" width="9.90625" style="540"/>
    <col min="12262" max="12262" width="8.453125" style="540" customWidth="1"/>
    <col min="12263" max="12263" width="14" style="540" customWidth="1"/>
    <col min="12264" max="12264" width="17.90625" style="540" customWidth="1"/>
    <col min="12265" max="12265" width="45" style="540" bestFit="1" customWidth="1"/>
    <col min="12266" max="12266" width="61.6328125" style="540" customWidth="1"/>
    <col min="12267" max="12267" width="20.54296875" style="540" customWidth="1"/>
    <col min="12268" max="12268" width="22.90625" style="540" customWidth="1"/>
    <col min="12269" max="12269" width="25.08984375" style="540" customWidth="1"/>
    <col min="12270" max="12517" width="9.90625" style="540"/>
    <col min="12518" max="12518" width="8.453125" style="540" customWidth="1"/>
    <col min="12519" max="12519" width="14" style="540" customWidth="1"/>
    <col min="12520" max="12520" width="17.90625" style="540" customWidth="1"/>
    <col min="12521" max="12521" width="45" style="540" bestFit="1" customWidth="1"/>
    <col min="12522" max="12522" width="61.6328125" style="540" customWidth="1"/>
    <col min="12523" max="12523" width="20.54296875" style="540" customWidth="1"/>
    <col min="12524" max="12524" width="22.90625" style="540" customWidth="1"/>
    <col min="12525" max="12525" width="25.08984375" style="540" customWidth="1"/>
    <col min="12526" max="12773" width="9.90625" style="540"/>
    <col min="12774" max="12774" width="8.453125" style="540" customWidth="1"/>
    <col min="12775" max="12775" width="14" style="540" customWidth="1"/>
    <col min="12776" max="12776" width="17.90625" style="540" customWidth="1"/>
    <col min="12777" max="12777" width="45" style="540" bestFit="1" customWidth="1"/>
    <col min="12778" max="12778" width="61.6328125" style="540" customWidth="1"/>
    <col min="12779" max="12779" width="20.54296875" style="540" customWidth="1"/>
    <col min="12780" max="12780" width="22.90625" style="540" customWidth="1"/>
    <col min="12781" max="12781" width="25.08984375" style="540" customWidth="1"/>
    <col min="12782" max="13029" width="9.90625" style="540"/>
    <col min="13030" max="13030" width="8.453125" style="540" customWidth="1"/>
    <col min="13031" max="13031" width="14" style="540" customWidth="1"/>
    <col min="13032" max="13032" width="17.90625" style="540" customWidth="1"/>
    <col min="13033" max="13033" width="45" style="540" bestFit="1" customWidth="1"/>
    <col min="13034" max="13034" width="61.6328125" style="540" customWidth="1"/>
    <col min="13035" max="13035" width="20.54296875" style="540" customWidth="1"/>
    <col min="13036" max="13036" width="22.90625" style="540" customWidth="1"/>
    <col min="13037" max="13037" width="25.08984375" style="540" customWidth="1"/>
    <col min="13038" max="13285" width="9.90625" style="540"/>
    <col min="13286" max="13286" width="8.453125" style="540" customWidth="1"/>
    <col min="13287" max="13287" width="14" style="540" customWidth="1"/>
    <col min="13288" max="13288" width="17.90625" style="540" customWidth="1"/>
    <col min="13289" max="13289" width="45" style="540" bestFit="1" customWidth="1"/>
    <col min="13290" max="13290" width="61.6328125" style="540" customWidth="1"/>
    <col min="13291" max="13291" width="20.54296875" style="540" customWidth="1"/>
    <col min="13292" max="13292" width="22.90625" style="540" customWidth="1"/>
    <col min="13293" max="13293" width="25.08984375" style="540" customWidth="1"/>
    <col min="13294" max="13541" width="9.90625" style="540"/>
    <col min="13542" max="13542" width="8.453125" style="540" customWidth="1"/>
    <col min="13543" max="13543" width="14" style="540" customWidth="1"/>
    <col min="13544" max="13544" width="17.90625" style="540" customWidth="1"/>
    <col min="13545" max="13545" width="45" style="540" bestFit="1" customWidth="1"/>
    <col min="13546" max="13546" width="61.6328125" style="540" customWidth="1"/>
    <col min="13547" max="13547" width="20.54296875" style="540" customWidth="1"/>
    <col min="13548" max="13548" width="22.90625" style="540" customWidth="1"/>
    <col min="13549" max="13549" width="25.08984375" style="540" customWidth="1"/>
    <col min="13550" max="13797" width="9.90625" style="540"/>
    <col min="13798" max="13798" width="8.453125" style="540" customWidth="1"/>
    <col min="13799" max="13799" width="14" style="540" customWidth="1"/>
    <col min="13800" max="13800" width="17.90625" style="540" customWidth="1"/>
    <col min="13801" max="13801" width="45" style="540" bestFit="1" customWidth="1"/>
    <col min="13802" max="13802" width="61.6328125" style="540" customWidth="1"/>
    <col min="13803" max="13803" width="20.54296875" style="540" customWidth="1"/>
    <col min="13804" max="13804" width="22.90625" style="540" customWidth="1"/>
    <col min="13805" max="13805" width="25.08984375" style="540" customWidth="1"/>
    <col min="13806" max="14053" width="9.90625" style="540"/>
    <col min="14054" max="14054" width="8.453125" style="540" customWidth="1"/>
    <col min="14055" max="14055" width="14" style="540" customWidth="1"/>
    <col min="14056" max="14056" width="17.90625" style="540" customWidth="1"/>
    <col min="14057" max="14057" width="45" style="540" bestFit="1" customWidth="1"/>
    <col min="14058" max="14058" width="61.6328125" style="540" customWidth="1"/>
    <col min="14059" max="14059" width="20.54296875" style="540" customWidth="1"/>
    <col min="14060" max="14060" width="22.90625" style="540" customWidth="1"/>
    <col min="14061" max="14061" width="25.08984375" style="540" customWidth="1"/>
    <col min="14062" max="14309" width="9.90625" style="540"/>
    <col min="14310" max="14310" width="8.453125" style="540" customWidth="1"/>
    <col min="14311" max="14311" width="14" style="540" customWidth="1"/>
    <col min="14312" max="14312" width="17.90625" style="540" customWidth="1"/>
    <col min="14313" max="14313" width="45" style="540" bestFit="1" customWidth="1"/>
    <col min="14314" max="14314" width="61.6328125" style="540" customWidth="1"/>
    <col min="14315" max="14315" width="20.54296875" style="540" customWidth="1"/>
    <col min="14316" max="14316" width="22.90625" style="540" customWidth="1"/>
    <col min="14317" max="14317" width="25.08984375" style="540" customWidth="1"/>
    <col min="14318" max="14565" width="9.90625" style="540"/>
    <col min="14566" max="14566" width="8.453125" style="540" customWidth="1"/>
    <col min="14567" max="14567" width="14" style="540" customWidth="1"/>
    <col min="14568" max="14568" width="17.90625" style="540" customWidth="1"/>
    <col min="14569" max="14569" width="45" style="540" bestFit="1" customWidth="1"/>
    <col min="14570" max="14570" width="61.6328125" style="540" customWidth="1"/>
    <col min="14571" max="14571" width="20.54296875" style="540" customWidth="1"/>
    <col min="14572" max="14572" width="22.90625" style="540" customWidth="1"/>
    <col min="14573" max="14573" width="25.08984375" style="540" customWidth="1"/>
    <col min="14574" max="14821" width="9.90625" style="540"/>
    <col min="14822" max="14822" width="8.453125" style="540" customWidth="1"/>
    <col min="14823" max="14823" width="14" style="540" customWidth="1"/>
    <col min="14824" max="14824" width="17.90625" style="540" customWidth="1"/>
    <col min="14825" max="14825" width="45" style="540" bestFit="1" customWidth="1"/>
    <col min="14826" max="14826" width="61.6328125" style="540" customWidth="1"/>
    <col min="14827" max="14827" width="20.54296875" style="540" customWidth="1"/>
    <col min="14828" max="14828" width="22.90625" style="540" customWidth="1"/>
    <col min="14829" max="14829" width="25.08984375" style="540" customWidth="1"/>
    <col min="14830" max="15077" width="9.90625" style="540"/>
    <col min="15078" max="15078" width="8.453125" style="540" customWidth="1"/>
    <col min="15079" max="15079" width="14" style="540" customWidth="1"/>
    <col min="15080" max="15080" width="17.90625" style="540" customWidth="1"/>
    <col min="15081" max="15081" width="45" style="540" bestFit="1" customWidth="1"/>
    <col min="15082" max="15082" width="61.6328125" style="540" customWidth="1"/>
    <col min="15083" max="15083" width="20.54296875" style="540" customWidth="1"/>
    <col min="15084" max="15084" width="22.90625" style="540" customWidth="1"/>
    <col min="15085" max="15085" width="25.08984375" style="540" customWidth="1"/>
    <col min="15086" max="15333" width="9.90625" style="540"/>
    <col min="15334" max="15334" width="8.453125" style="540" customWidth="1"/>
    <col min="15335" max="15335" width="14" style="540" customWidth="1"/>
    <col min="15336" max="15336" width="17.90625" style="540" customWidth="1"/>
    <col min="15337" max="15337" width="45" style="540" bestFit="1" customWidth="1"/>
    <col min="15338" max="15338" width="61.6328125" style="540" customWidth="1"/>
    <col min="15339" max="15339" width="20.54296875" style="540" customWidth="1"/>
    <col min="15340" max="15340" width="22.90625" style="540" customWidth="1"/>
    <col min="15341" max="15341" width="25.08984375" style="540" customWidth="1"/>
    <col min="15342" max="15589" width="9.90625" style="540"/>
    <col min="15590" max="15590" width="8.453125" style="540" customWidth="1"/>
    <col min="15591" max="15591" width="14" style="540" customWidth="1"/>
    <col min="15592" max="15592" width="17.90625" style="540" customWidth="1"/>
    <col min="15593" max="15593" width="45" style="540" bestFit="1" customWidth="1"/>
    <col min="15594" max="15594" width="61.6328125" style="540" customWidth="1"/>
    <col min="15595" max="15595" width="20.54296875" style="540" customWidth="1"/>
    <col min="15596" max="15596" width="22.90625" style="540" customWidth="1"/>
    <col min="15597" max="15597" width="25.08984375" style="540" customWidth="1"/>
    <col min="15598" max="15845" width="9.90625" style="540"/>
    <col min="15846" max="15846" width="8.453125" style="540" customWidth="1"/>
    <col min="15847" max="15847" width="14" style="540" customWidth="1"/>
    <col min="15848" max="15848" width="17.90625" style="540" customWidth="1"/>
    <col min="15849" max="15849" width="45" style="540" bestFit="1" customWidth="1"/>
    <col min="15850" max="15850" width="61.6328125" style="540" customWidth="1"/>
    <col min="15851" max="15851" width="20.54296875" style="540" customWidth="1"/>
    <col min="15852" max="15852" width="22.90625" style="540" customWidth="1"/>
    <col min="15853" max="15853" width="25.08984375" style="540" customWidth="1"/>
    <col min="15854" max="16101" width="9.90625" style="540"/>
    <col min="16102" max="16102" width="8.453125" style="540" customWidth="1"/>
    <col min="16103" max="16103" width="14" style="540" customWidth="1"/>
    <col min="16104" max="16104" width="17.90625" style="540" customWidth="1"/>
    <col min="16105" max="16105" width="45" style="540" bestFit="1" customWidth="1"/>
    <col min="16106" max="16106" width="61.6328125" style="540" customWidth="1"/>
    <col min="16107" max="16107" width="20.54296875" style="540" customWidth="1"/>
    <col min="16108" max="16108" width="22.90625" style="540" customWidth="1"/>
    <col min="16109" max="16109" width="25.08984375" style="540" customWidth="1"/>
    <col min="16110" max="16384" width="9.90625" style="540"/>
  </cols>
  <sheetData>
    <row r="1" spans="1:10" s="573" customFormat="1" ht="40.25" customHeight="1">
      <c r="A1" s="571" t="s">
        <v>581</v>
      </c>
      <c r="B1" s="572"/>
      <c r="C1" s="558"/>
      <c r="D1" s="558"/>
      <c r="E1" s="558"/>
      <c r="F1" s="558"/>
      <c r="G1" s="558"/>
      <c r="H1" s="558"/>
      <c r="I1" s="558"/>
      <c r="J1" s="558"/>
    </row>
    <row r="2" spans="1:10" s="559" customFormat="1" ht="20" customHeight="1">
      <c r="A2" s="571"/>
      <c r="B2" s="570"/>
      <c r="C2" s="558"/>
      <c r="D2" s="558"/>
      <c r="E2" s="558"/>
      <c r="F2" s="558"/>
      <c r="G2" s="558"/>
      <c r="H2" s="558"/>
      <c r="I2" s="558"/>
      <c r="J2" s="558"/>
    </row>
    <row r="3" spans="1:10" s="559" customFormat="1" ht="39.65" customHeight="1">
      <c r="A3" s="558"/>
      <c r="B3" s="1401" t="s">
        <v>582</v>
      </c>
      <c r="C3" s="1401"/>
      <c r="D3" s="1401"/>
      <c r="E3" s="1401"/>
      <c r="F3" s="1401"/>
      <c r="G3" s="1401"/>
      <c r="H3" s="1401"/>
      <c r="I3" s="1401"/>
      <c r="J3" s="558"/>
    </row>
    <row r="4" spans="1:10" s="559" customFormat="1" ht="25.25" customHeight="1">
      <c r="A4" s="558"/>
      <c r="B4" s="1397" t="s">
        <v>583</v>
      </c>
      <c r="C4" s="1398"/>
      <c r="D4" s="1398"/>
      <c r="E4" s="1398"/>
      <c r="F4" s="1398"/>
      <c r="G4" s="1398"/>
      <c r="H4" s="1398"/>
      <c r="I4" s="1399"/>
      <c r="J4" s="558"/>
    </row>
    <row r="5" spans="1:10" s="559" customFormat="1" ht="25.25" customHeight="1">
      <c r="A5" s="558"/>
      <c r="B5" s="560" t="s">
        <v>584</v>
      </c>
      <c r="C5" s="1397" t="s">
        <v>585</v>
      </c>
      <c r="D5" s="1398"/>
      <c r="E5" s="1398"/>
      <c r="F5" s="1398"/>
      <c r="G5" s="1398"/>
      <c r="H5" s="1398"/>
      <c r="I5" s="1399"/>
      <c r="J5" s="558"/>
    </row>
    <row r="6" spans="1:10" s="559" customFormat="1" ht="25.25" customHeight="1">
      <c r="A6" s="558"/>
      <c r="B6" s="560" t="s">
        <v>586</v>
      </c>
      <c r="C6" s="1397" t="s">
        <v>587</v>
      </c>
      <c r="D6" s="1398"/>
      <c r="E6" s="1398"/>
      <c r="F6" s="1398"/>
      <c r="G6" s="1398"/>
      <c r="H6" s="1398"/>
      <c r="I6" s="1399"/>
      <c r="J6" s="558"/>
    </row>
    <row r="7" spans="1:10" s="559" customFormat="1" ht="25.25" customHeight="1">
      <c r="A7" s="558"/>
      <c r="B7" s="560" t="s">
        <v>588</v>
      </c>
      <c r="C7" s="1397" t="s">
        <v>589</v>
      </c>
      <c r="D7" s="1398"/>
      <c r="E7" s="1398"/>
      <c r="F7" s="1398"/>
      <c r="G7" s="1398"/>
      <c r="H7" s="1398"/>
      <c r="I7" s="1399"/>
      <c r="J7" s="558"/>
    </row>
    <row r="8" spans="1:10" s="559" customFormat="1" ht="25.25" customHeight="1">
      <c r="A8" s="558"/>
      <c r="B8" s="561"/>
      <c r="C8" s="562"/>
      <c r="D8" s="563"/>
      <c r="E8" s="563"/>
      <c r="F8" s="563"/>
      <c r="G8" s="563"/>
      <c r="H8" s="563"/>
      <c r="I8" s="563"/>
      <c r="J8" s="558"/>
    </row>
    <row r="9" spans="1:10" s="559" customFormat="1" ht="36" customHeight="1">
      <c r="A9" s="558"/>
      <c r="B9" s="1401" t="s">
        <v>590</v>
      </c>
      <c r="C9" s="1401"/>
      <c r="D9" s="1401"/>
      <c r="E9" s="1401"/>
      <c r="F9" s="1401"/>
      <c r="G9" s="1401"/>
      <c r="H9" s="1401"/>
      <c r="I9" s="1401"/>
      <c r="J9" s="558"/>
    </row>
    <row r="10" spans="1:10" s="559" customFormat="1" ht="25.25" customHeight="1">
      <c r="A10" s="558"/>
      <c r="B10" s="1397" t="s">
        <v>591</v>
      </c>
      <c r="C10" s="1398"/>
      <c r="D10" s="1398"/>
      <c r="E10" s="1398"/>
      <c r="F10" s="1398"/>
      <c r="G10" s="1398"/>
      <c r="H10" s="1398"/>
      <c r="I10" s="1399"/>
      <c r="J10" s="558"/>
    </row>
    <row r="11" spans="1:10" s="559" customFormat="1" ht="56.4" customHeight="1">
      <c r="A11" s="558"/>
      <c r="B11" s="1402" t="s">
        <v>584</v>
      </c>
      <c r="C11" s="1394" t="s">
        <v>592</v>
      </c>
      <c r="D11" s="1395"/>
      <c r="E11" s="1395"/>
      <c r="F11" s="1395"/>
      <c r="G11" s="1395"/>
      <c r="H11" s="1395"/>
      <c r="I11" s="1396"/>
      <c r="J11" s="558"/>
    </row>
    <row r="12" spans="1:10" s="559" customFormat="1" ht="54.65" customHeight="1">
      <c r="A12" s="558"/>
      <c r="B12" s="1402"/>
      <c r="C12" s="1403" t="s">
        <v>593</v>
      </c>
      <c r="D12" s="560" t="s">
        <v>264</v>
      </c>
      <c r="E12" s="1394" t="s">
        <v>594</v>
      </c>
      <c r="F12" s="1395"/>
      <c r="G12" s="1395"/>
      <c r="H12" s="1395"/>
      <c r="I12" s="1396"/>
    </row>
    <row r="13" spans="1:10" s="559" customFormat="1" ht="32.4" customHeight="1">
      <c r="A13" s="558"/>
      <c r="B13" s="1402"/>
      <c r="C13" s="1404"/>
      <c r="D13" s="560" t="s">
        <v>267</v>
      </c>
      <c r="E13" s="1394" t="s">
        <v>595</v>
      </c>
      <c r="F13" s="1395"/>
      <c r="G13" s="1395"/>
      <c r="H13" s="1395"/>
      <c r="I13" s="1396"/>
    </row>
    <row r="14" spans="1:10" s="559" customFormat="1" ht="25.25" customHeight="1">
      <c r="A14" s="558"/>
      <c r="B14" s="560" t="s">
        <v>586</v>
      </c>
      <c r="C14" s="1397" t="s">
        <v>596</v>
      </c>
      <c r="D14" s="1398"/>
      <c r="E14" s="1398"/>
      <c r="F14" s="1398"/>
      <c r="G14" s="1398"/>
      <c r="H14" s="1398"/>
      <c r="I14" s="1399"/>
      <c r="J14" s="558"/>
    </row>
    <row r="15" spans="1:10" s="559" customFormat="1" ht="25.25"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5" customHeight="1">
      <c r="A17" s="558"/>
      <c r="B17" s="565" t="s">
        <v>584</v>
      </c>
      <c r="C17" s="1394" t="s">
        <v>598</v>
      </c>
      <c r="D17" s="1395"/>
      <c r="E17" s="1395"/>
      <c r="F17" s="1395"/>
      <c r="G17" s="1395"/>
      <c r="H17" s="1395"/>
      <c r="I17" s="1396"/>
      <c r="J17" s="566"/>
    </row>
    <row r="18" spans="1:10" s="559" customFormat="1" ht="50" customHeight="1">
      <c r="A18" s="558"/>
      <c r="B18" s="567"/>
      <c r="C18" s="1403" t="s">
        <v>599</v>
      </c>
      <c r="D18" s="560" t="s">
        <v>264</v>
      </c>
      <c r="E18" s="1394" t="s">
        <v>600</v>
      </c>
      <c r="F18" s="1395"/>
      <c r="G18" s="1395"/>
      <c r="H18" s="1395"/>
      <c r="I18" s="1396"/>
    </row>
    <row r="19" spans="1:10" s="559" customFormat="1" ht="76.25" customHeight="1">
      <c r="A19" s="558"/>
      <c r="B19" s="567"/>
      <c r="C19" s="1405"/>
      <c r="D19" s="560" t="s">
        <v>267</v>
      </c>
      <c r="E19" s="1394" t="s">
        <v>601</v>
      </c>
      <c r="F19" s="1395"/>
      <c r="G19" s="1395"/>
      <c r="H19" s="1395"/>
      <c r="I19" s="1396"/>
    </row>
    <row r="20" spans="1:10" s="559" customFormat="1" ht="78.650000000000006" customHeight="1">
      <c r="A20" s="558"/>
      <c r="B20" s="568"/>
      <c r="C20" s="1404"/>
      <c r="D20" s="560" t="s">
        <v>270</v>
      </c>
      <c r="E20" s="1394" t="s">
        <v>602</v>
      </c>
      <c r="F20" s="1395"/>
      <c r="G20" s="1395"/>
      <c r="H20" s="1395"/>
      <c r="I20" s="1396"/>
    </row>
    <row r="21" spans="1:10" s="559" customFormat="1" ht="25.25" customHeight="1">
      <c r="A21" s="558"/>
      <c r="B21" s="568" t="s">
        <v>586</v>
      </c>
      <c r="C21" s="1400" t="s">
        <v>596</v>
      </c>
      <c r="D21" s="1400"/>
      <c r="E21" s="1400"/>
      <c r="F21" s="1400"/>
      <c r="G21" s="1400"/>
      <c r="H21" s="1400"/>
      <c r="I21" s="1400"/>
      <c r="J21" s="569"/>
    </row>
    <row r="22" spans="1:10" ht="15.75" customHeight="1">
      <c r="A22" s="61"/>
      <c r="B22" s="61"/>
      <c r="C22" s="61"/>
      <c r="D22" s="61"/>
      <c r="E22" s="61"/>
      <c r="F22" s="61"/>
      <c r="G22" s="61"/>
      <c r="H22" s="61"/>
      <c r="I22" s="61"/>
      <c r="J22" s="61"/>
    </row>
    <row r="23" spans="1:10" ht="40.25" customHeight="1">
      <c r="A23" s="535" t="s">
        <v>603</v>
      </c>
      <c r="B23" s="536"/>
      <c r="C23" s="536"/>
      <c r="D23" s="536"/>
      <c r="E23" s="536"/>
      <c r="F23" s="536"/>
      <c r="G23" s="536"/>
      <c r="H23" s="536"/>
      <c r="I23" s="536"/>
      <c r="J23" s="537"/>
    </row>
    <row r="24" spans="1:10" ht="20" customHeight="1">
      <c r="A24" s="538"/>
      <c r="B24" s="539"/>
      <c r="C24" s="539"/>
      <c r="D24" s="539"/>
      <c r="E24" s="539"/>
      <c r="F24" s="539"/>
      <c r="G24" s="539"/>
      <c r="H24" s="539"/>
      <c r="I24" s="539"/>
    </row>
    <row r="25" spans="1:10" ht="40.25" customHeight="1">
      <c r="A25" s="535" t="s">
        <v>604</v>
      </c>
      <c r="B25" s="539"/>
      <c r="C25" s="539"/>
      <c r="D25" s="539"/>
      <c r="E25" s="539"/>
      <c r="F25" s="539"/>
      <c r="G25" s="539"/>
      <c r="H25" s="539"/>
      <c r="I25" s="539"/>
    </row>
    <row r="26" spans="1:10" ht="42">
      <c r="A26" s="541" t="s">
        <v>605</v>
      </c>
      <c r="B26" s="542" t="s">
        <v>606</v>
      </c>
      <c r="C26" s="542" t="s">
        <v>607</v>
      </c>
      <c r="D26" s="1416" t="s">
        <v>608</v>
      </c>
      <c r="E26" s="1417"/>
      <c r="F26" s="542" t="s">
        <v>609</v>
      </c>
      <c r="G26" s="543" t="s">
        <v>610</v>
      </c>
      <c r="H26" s="543" t="s">
        <v>611</v>
      </c>
      <c r="I26" s="543" t="s">
        <v>612</v>
      </c>
    </row>
    <row r="27" spans="1:10" ht="115.25" customHeight="1">
      <c r="A27" s="544" t="s">
        <v>613</v>
      </c>
      <c r="B27" s="545" t="s">
        <v>614</v>
      </c>
      <c r="C27" s="546" t="s">
        <v>615</v>
      </c>
      <c r="D27" s="1413" t="s">
        <v>616</v>
      </c>
      <c r="E27" s="1414"/>
      <c r="F27" s="546" t="s">
        <v>617</v>
      </c>
      <c r="G27" s="546" t="s">
        <v>618</v>
      </c>
      <c r="H27" s="546" t="s">
        <v>619</v>
      </c>
      <c r="I27" s="546" t="s">
        <v>620</v>
      </c>
    </row>
    <row r="28" spans="1:10" ht="146" customHeight="1">
      <c r="A28" s="544" t="s">
        <v>613</v>
      </c>
      <c r="B28" s="545" t="s">
        <v>621</v>
      </c>
      <c r="C28" s="546" t="s">
        <v>622</v>
      </c>
      <c r="D28" s="1413" t="s">
        <v>623</v>
      </c>
      <c r="E28" s="1414"/>
      <c r="F28" s="546" t="s">
        <v>624</v>
      </c>
      <c r="G28" s="546" t="s">
        <v>625</v>
      </c>
      <c r="H28" s="546" t="s">
        <v>626</v>
      </c>
      <c r="I28" s="546" t="s">
        <v>620</v>
      </c>
    </row>
    <row r="29" spans="1:10" ht="168">
      <c r="A29" s="544" t="s">
        <v>627</v>
      </c>
      <c r="B29" s="545" t="s">
        <v>628</v>
      </c>
      <c r="C29" s="546" t="s">
        <v>629</v>
      </c>
      <c r="D29" s="1413" t="s">
        <v>630</v>
      </c>
      <c r="E29" s="1414"/>
      <c r="F29" s="546" t="s">
        <v>631</v>
      </c>
      <c r="G29" s="546" t="s">
        <v>632</v>
      </c>
      <c r="H29" s="546" t="s">
        <v>633</v>
      </c>
      <c r="I29" s="546" t="s">
        <v>634</v>
      </c>
    </row>
    <row r="30" spans="1:10" ht="147">
      <c r="A30" s="544" t="s">
        <v>635</v>
      </c>
      <c r="B30" s="541"/>
      <c r="C30" s="546" t="s">
        <v>636</v>
      </c>
      <c r="D30" s="1413" t="s">
        <v>637</v>
      </c>
      <c r="E30" s="1414"/>
      <c r="F30" s="546" t="s">
        <v>638</v>
      </c>
      <c r="G30" s="546" t="s">
        <v>639</v>
      </c>
      <c r="H30" s="546" t="s">
        <v>640</v>
      </c>
      <c r="I30" s="546" t="s">
        <v>641</v>
      </c>
    </row>
    <row r="31" spans="1:10" ht="147">
      <c r="A31" s="544" t="s">
        <v>642</v>
      </c>
      <c r="B31" s="541"/>
      <c r="C31" s="546" t="s">
        <v>643</v>
      </c>
      <c r="D31" s="1413" t="s">
        <v>644</v>
      </c>
      <c r="E31" s="1414"/>
      <c r="F31" s="546" t="s">
        <v>645</v>
      </c>
      <c r="G31" s="546" t="s">
        <v>646</v>
      </c>
      <c r="H31" s="546" t="s">
        <v>647</v>
      </c>
      <c r="I31" s="546" t="s">
        <v>648</v>
      </c>
    </row>
    <row r="32" spans="1:10" ht="23.5">
      <c r="A32" s="1409" t="s">
        <v>649</v>
      </c>
      <c r="B32" s="1409"/>
      <c r="C32" s="1409"/>
      <c r="D32" s="1409"/>
      <c r="E32" s="1409"/>
      <c r="F32" s="1409"/>
      <c r="G32" s="1409"/>
      <c r="H32" s="1409"/>
      <c r="I32" s="1409"/>
    </row>
    <row r="33" spans="1:9" ht="23.5">
      <c r="A33" s="547"/>
      <c r="B33" s="547"/>
      <c r="C33" s="547"/>
      <c r="D33" s="547"/>
      <c r="E33" s="547"/>
      <c r="F33" s="547"/>
      <c r="G33" s="547"/>
      <c r="H33" s="547"/>
      <c r="I33" s="547"/>
    </row>
    <row r="34" spans="1:9" ht="23.5">
      <c r="A34" s="548" t="s">
        <v>650</v>
      </c>
      <c r="B34" s="548"/>
      <c r="C34" s="548"/>
      <c r="D34" s="548"/>
      <c r="E34" s="548"/>
      <c r="F34" s="548"/>
      <c r="G34" s="548"/>
      <c r="H34" s="548"/>
      <c r="I34" s="548"/>
    </row>
    <row r="35" spans="1:9" ht="23.5">
      <c r="A35" s="1406" t="s">
        <v>651</v>
      </c>
      <c r="B35" s="1407"/>
      <c r="C35" s="1407"/>
      <c r="D35" s="1407"/>
      <c r="E35" s="1407"/>
      <c r="F35" s="1407"/>
      <c r="G35" s="1407"/>
      <c r="H35" s="1407"/>
      <c r="I35" s="1408"/>
    </row>
    <row r="36" spans="1:9" ht="28">
      <c r="A36" s="549"/>
      <c r="B36" s="539"/>
      <c r="C36" s="539"/>
      <c r="D36" s="539"/>
      <c r="E36" s="539"/>
      <c r="F36" s="539"/>
      <c r="G36" s="539"/>
      <c r="H36" s="539"/>
      <c r="I36" s="539"/>
    </row>
    <row r="37" spans="1:9" ht="40.25" customHeight="1">
      <c r="A37" s="550" t="s">
        <v>652</v>
      </c>
      <c r="B37" s="539"/>
      <c r="C37" s="551"/>
      <c r="D37" s="551"/>
      <c r="E37" s="539"/>
      <c r="F37" s="539"/>
      <c r="G37" s="539"/>
      <c r="H37" s="539"/>
      <c r="I37" s="539"/>
    </row>
    <row r="38" spans="1:9" ht="47">
      <c r="A38" s="1410" t="s">
        <v>653</v>
      </c>
      <c r="B38" s="1411"/>
      <c r="C38" s="552" t="s">
        <v>607</v>
      </c>
      <c r="D38" s="553" t="s">
        <v>654</v>
      </c>
      <c r="E38" s="553" t="s">
        <v>655</v>
      </c>
      <c r="F38" s="553" t="s">
        <v>656</v>
      </c>
      <c r="G38" s="554"/>
      <c r="H38" s="554"/>
      <c r="I38" s="554"/>
    </row>
    <row r="39" spans="1:9" ht="94">
      <c r="A39" s="1412" t="s">
        <v>657</v>
      </c>
      <c r="B39" s="1411"/>
      <c r="C39" s="555" t="s">
        <v>629</v>
      </c>
      <c r="D39" s="555" t="s">
        <v>633</v>
      </c>
      <c r="E39" s="555" t="s">
        <v>658</v>
      </c>
      <c r="F39" s="555" t="s">
        <v>659</v>
      </c>
      <c r="G39" s="554"/>
      <c r="H39" s="554"/>
      <c r="I39" s="554"/>
    </row>
    <row r="40" spans="1:9" ht="81.5">
      <c r="A40" s="1412" t="s">
        <v>660</v>
      </c>
      <c r="B40" s="1411"/>
      <c r="C40" s="555" t="s">
        <v>636</v>
      </c>
      <c r="D40" s="555" t="s">
        <v>640</v>
      </c>
      <c r="E40" s="555" t="s">
        <v>661</v>
      </c>
      <c r="F40" s="556" t="s">
        <v>662</v>
      </c>
      <c r="G40" s="539"/>
      <c r="H40" s="539"/>
      <c r="I40" s="539"/>
    </row>
    <row r="41" spans="1:9" ht="81.5">
      <c r="A41" s="1412" t="s">
        <v>663</v>
      </c>
      <c r="B41" s="1411"/>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5">
      <c r="A43" s="1415" t="s">
        <v>649</v>
      </c>
      <c r="B43" s="1415"/>
      <c r="C43" s="1415"/>
      <c r="D43" s="1415"/>
      <c r="E43" s="1415"/>
      <c r="F43" s="1415"/>
      <c r="G43" s="1415"/>
      <c r="H43" s="1415"/>
      <c r="I43" s="1415"/>
    </row>
    <row r="44" spans="1:9" ht="23.5">
      <c r="A44" s="548" t="s">
        <v>650</v>
      </c>
      <c r="B44" s="548"/>
      <c r="C44" s="548"/>
      <c r="D44" s="548"/>
      <c r="E44" s="548"/>
      <c r="F44" s="548"/>
      <c r="G44" s="548"/>
      <c r="H44" s="548"/>
      <c r="I44" s="548"/>
    </row>
    <row r="45" spans="1:9" ht="23.5">
      <c r="A45" s="1406" t="s">
        <v>651</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Q2" sqref="Q2:Q451"/>
    </sheetView>
  </sheetViews>
  <sheetFormatPr defaultColWidth="9" defaultRowHeight="13"/>
  <cols>
    <col min="1" max="1" width="49.453125" style="1" customWidth="1"/>
    <col min="2" max="3" width="9" style="1"/>
    <col min="4" max="4" width="10.08984375" style="1" customWidth="1"/>
    <col min="5" max="5" width="12.08984375" style="1" customWidth="1"/>
    <col min="6" max="7" width="9" style="1"/>
    <col min="8" max="8" width="11.54296875" style="2" customWidth="1"/>
    <col min="9" max="10" width="9" style="1"/>
    <col min="11" max="11" width="10" style="1" customWidth="1"/>
    <col min="12" max="12" width="9.453125" style="1" customWidth="1"/>
    <col min="13" max="13" width="11.36328125" customWidth="1"/>
    <col min="14" max="14" width="19.453125" customWidth="1"/>
    <col min="18" max="18" width="33.36328125" style="10" customWidth="1"/>
    <col min="19" max="19" width="10.453125" style="10" customWidth="1"/>
    <col min="20" max="20" width="7" style="10" customWidth="1"/>
    <col min="21" max="21" width="46.6328125" style="10" customWidth="1"/>
    <col min="22" max="22" width="11.54296875" style="10" customWidth="1"/>
    <col min="23" max="23" width="17.453125" style="10" customWidth="1"/>
    <col min="24" max="24" width="9.54296875" style="10" customWidth="1"/>
    <col min="25" max="25" width="18.6328125" style="1" customWidth="1"/>
    <col min="26" max="26" width="9" style="1"/>
    <col min="27" max="27" width="85.6328125" style="1" customWidth="1"/>
    <col min="28" max="16384" width="9" style="1"/>
  </cols>
  <sheetData>
    <row r="1" spans="1:27" ht="13.5" thickBot="1">
      <c r="A1" s="1" t="s">
        <v>666</v>
      </c>
      <c r="D1" s="2"/>
      <c r="E1" s="2" t="s">
        <v>667</v>
      </c>
      <c r="G1" s="2" t="s">
        <v>668</v>
      </c>
      <c r="H1" s="1"/>
      <c r="J1" s="10" t="s">
        <v>669</v>
      </c>
      <c r="K1" s="10"/>
      <c r="T1" s="1"/>
      <c r="U1" s="1" t="s">
        <v>670</v>
      </c>
      <c r="V1" s="1"/>
      <c r="W1" s="2" t="s">
        <v>671</v>
      </c>
      <c r="X1" s="1"/>
      <c r="Y1" s="2" t="s">
        <v>672</v>
      </c>
      <c r="AA1" s="1" t="s">
        <v>673</v>
      </c>
    </row>
    <row r="2" spans="1:27" ht="13.5"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3.5">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4"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4"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3.5">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4"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3.5">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3.5">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3.5">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3.5">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3.5">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3.5">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3.5">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3.5">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3.5">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3.5">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3.5">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3.5">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3.5">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3.5">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3.5">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3.5">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3.5">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4"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3.5">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3.5">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3.5">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3.5">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3.5">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3.5">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4"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3.5">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3.5">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3.5">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3.5">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3.5">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3.5">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3.5">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4"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3.5">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3.5">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3.5">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3.5">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3.5">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4"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5"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5"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5"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5"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5"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5"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5"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5"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08984375" style="2" bestFit="1" customWidth="1"/>
    <col min="6" max="6" width="10.453125" style="2" bestFit="1" customWidth="1"/>
    <col min="7" max="8" width="9" style="2"/>
    <col min="9" max="9" width="12.453125" style="2" customWidth="1"/>
    <col min="10" max="10" width="11.90625" style="2" customWidth="1"/>
    <col min="11" max="11" width="11" style="2" customWidth="1"/>
    <col min="12" max="15" width="9.08984375" style="2" bestFit="1" customWidth="1"/>
    <col min="16" max="24" width="10.54296875" style="2" bestFit="1" customWidth="1"/>
    <col min="25" max="29" width="11.08984375" style="2" bestFit="1" customWidth="1"/>
    <col min="30" max="30" width="9.08984375" style="2" bestFit="1" customWidth="1"/>
    <col min="31" max="31" width="13.90625" style="2" customWidth="1"/>
    <col min="32" max="32" width="8" style="2" customWidth="1"/>
    <col min="33" max="33" width="43.90625" style="2" customWidth="1"/>
    <col min="34" max="34" width="7.453125" style="2" customWidth="1"/>
    <col min="35" max="35" width="27.90625" style="2" customWidth="1"/>
    <col min="36" max="36" width="26.36328125" style="2" customWidth="1"/>
    <col min="37" max="37" width="28" style="2" customWidth="1"/>
    <col min="38" max="38" width="9" style="2"/>
    <col min="39" max="39" width="19.54296875" style="2" customWidth="1"/>
    <col min="40" max="40" width="9" style="2" customWidth="1"/>
    <col min="41" max="41" width="19.453125" style="2" bestFit="1" customWidth="1"/>
    <col min="42" max="42" width="13.453125" style="2" bestFit="1" customWidth="1"/>
    <col min="43" max="43" width="37.6328125" style="2" bestFit="1" customWidth="1"/>
    <col min="44" max="44" width="27.6328125" style="2" bestFit="1" customWidth="1"/>
    <col min="45" max="45" width="32.36328125" style="2" bestFit="1" customWidth="1"/>
    <col min="46" max="46" width="41.6328125" style="2" bestFit="1" customWidth="1"/>
    <col min="47" max="47" width="16.54296875" style="2" bestFit="1" customWidth="1"/>
    <col min="48" max="51" width="15.36328125" style="2" bestFit="1" customWidth="1"/>
    <col min="52" max="52" width="18.6328125" style="2" customWidth="1"/>
    <col min="53" max="53" width="9" style="2"/>
    <col min="54" max="54" width="45.453125" style="2" customWidth="1"/>
    <col min="55" max="56" width="9" style="2"/>
    <col min="57" max="57" width="20.36328125" style="2" customWidth="1"/>
    <col min="58" max="16384" width="9" style="2"/>
  </cols>
  <sheetData>
    <row r="1" spans="1:57" ht="12.5" thickBot="1">
      <c r="A1" s="2" t="s">
        <v>2588</v>
      </c>
      <c r="AF1" s="170"/>
      <c r="AG1" s="2" t="s">
        <v>2589</v>
      </c>
      <c r="AM1" s="2" t="s">
        <v>2590</v>
      </c>
      <c r="AO1" s="2" t="s">
        <v>2591</v>
      </c>
      <c r="AQ1" s="171" t="s">
        <v>2592</v>
      </c>
      <c r="BA1" s="172"/>
      <c r="BB1" s="2" t="s">
        <v>2593</v>
      </c>
      <c r="BE1" s="2" t="s">
        <v>2594</v>
      </c>
    </row>
    <row r="2" spans="1:57">
      <c r="A2" s="1430" t="s">
        <v>2595</v>
      </c>
      <c r="B2" s="1433" t="s">
        <v>675</v>
      </c>
      <c r="C2" s="1436" t="s">
        <v>2596</v>
      </c>
      <c r="D2" s="1437"/>
      <c r="E2" s="1437"/>
      <c r="F2" s="1438"/>
      <c r="G2" s="1439" t="s">
        <v>2597</v>
      </c>
      <c r="H2" s="1440"/>
      <c r="I2" s="1441"/>
      <c r="J2" s="1439" t="s">
        <v>2598</v>
      </c>
      <c r="K2" s="1441"/>
      <c r="L2" s="1424" t="s">
        <v>2599</v>
      </c>
      <c r="M2" s="1425"/>
      <c r="N2" s="1425"/>
      <c r="O2" s="1425"/>
      <c r="P2" s="1425"/>
      <c r="Q2" s="1425"/>
      <c r="R2" s="1425"/>
      <c r="S2" s="1425"/>
      <c r="T2" s="1425"/>
      <c r="U2" s="1425"/>
      <c r="V2" s="1425"/>
      <c r="W2" s="1425"/>
      <c r="X2" s="1425"/>
      <c r="Y2" s="1425"/>
      <c r="Z2" s="1425"/>
      <c r="AA2" s="1425"/>
      <c r="AB2" s="1425"/>
      <c r="AC2" s="1425"/>
      <c r="AD2" s="1426"/>
      <c r="AE2" s="1418" t="s">
        <v>2600</v>
      </c>
      <c r="AF2" s="170"/>
      <c r="AG2" s="1445" t="s">
        <v>2601</v>
      </c>
      <c r="AH2" s="1457" t="s">
        <v>55</v>
      </c>
      <c r="AI2" s="1448" t="s">
        <v>2602</v>
      </c>
      <c r="AJ2" s="1449"/>
      <c r="AK2" s="1450"/>
      <c r="AM2" s="173" t="s">
        <v>2603</v>
      </c>
      <c r="AO2" s="9" t="s">
        <v>476</v>
      </c>
      <c r="AQ2" s="1439" t="s">
        <v>2596</v>
      </c>
      <c r="AR2" s="1440" t="s">
        <v>2597</v>
      </c>
      <c r="AS2" s="1440" t="s">
        <v>2598</v>
      </c>
      <c r="AT2" s="1440" t="s">
        <v>2604</v>
      </c>
      <c r="AU2" s="1440" t="s">
        <v>2605</v>
      </c>
      <c r="AV2" s="1440"/>
      <c r="AW2" s="1440"/>
      <c r="AX2" s="1440"/>
      <c r="AY2" s="1440"/>
      <c r="AZ2" s="1438"/>
      <c r="BB2" s="1462" t="s">
        <v>2601</v>
      </c>
      <c r="BC2" s="1438" t="s">
        <v>2606</v>
      </c>
      <c r="BE2" s="1418" t="s">
        <v>2607</v>
      </c>
    </row>
    <row r="3" spans="1:57" ht="12.5" thickBot="1">
      <c r="A3" s="1431"/>
      <c r="B3" s="1434"/>
      <c r="C3" s="1421" t="s">
        <v>2608</v>
      </c>
      <c r="D3" s="1422"/>
      <c r="E3" s="1422"/>
      <c r="F3" s="1423"/>
      <c r="G3" s="1421" t="s">
        <v>2609</v>
      </c>
      <c r="H3" s="1422"/>
      <c r="I3" s="1423"/>
      <c r="J3" s="1421"/>
      <c r="K3" s="1423"/>
      <c r="L3" s="1427" t="s">
        <v>2610</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483</v>
      </c>
      <c r="AQ3" s="1421"/>
      <c r="AR3" s="1422"/>
      <c r="AS3" s="1422"/>
      <c r="AT3" s="1422"/>
      <c r="AU3" s="1422"/>
      <c r="AV3" s="1422"/>
      <c r="AW3" s="1422"/>
      <c r="AX3" s="1422"/>
      <c r="AY3" s="1422"/>
      <c r="AZ3" s="1460"/>
      <c r="BB3" s="1463"/>
      <c r="BC3" s="1460"/>
      <c r="BE3" s="1419"/>
    </row>
    <row r="4" spans="1:57" ht="24.5" thickBot="1">
      <c r="A4" s="1432"/>
      <c r="B4" s="1435"/>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47"/>
      <c r="AH4" s="1459"/>
      <c r="AI4" s="1454"/>
      <c r="AJ4" s="1455"/>
      <c r="AK4" s="1456"/>
      <c r="AO4" s="7" t="s">
        <v>484</v>
      </c>
      <c r="AQ4" s="1443"/>
      <c r="AR4" s="1444"/>
      <c r="AS4" s="1444"/>
      <c r="AT4" s="1444"/>
      <c r="AU4" s="1444"/>
      <c r="AV4" s="1444"/>
      <c r="AW4" s="1444"/>
      <c r="AX4" s="1444"/>
      <c r="AY4" s="1444"/>
      <c r="AZ4" s="175" t="s">
        <v>2620</v>
      </c>
      <c r="BB4" s="1464"/>
      <c r="BC4" s="1461"/>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5"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5"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5"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5"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5"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802" t="s">
        <v>2646</v>
      </c>
      <c r="AH50" s="802"/>
    </row>
    <row r="51" spans="33:34">
      <c r="AG51" s="1442" t="s">
        <v>2647</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2025-03-06T07:35:30Z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